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AlgorithmName="SHA-512" workbookHashValue="CCFD8YbCqV8To+lcyxKgZwvNyOA1apzvgthqLg3Xye8+kLKb+64iW/j2LuS/Y/60cd6lewlq9rkA62sQIXhAzA==" workbookSaltValue="0w+oE9u/DLN6sgWHsrwKnQ==" workbookSpinCount="100000" lockStructure="1"/>
  <bookViews>
    <workbookView xWindow="0" yWindow="0" windowWidth="19200" windowHeight="7455" tabRatio="895" firstSheet="1" activeTab="1"/>
  </bookViews>
  <sheets>
    <sheet name="HYK " sheetId="74" state="hidden" r:id="rId1"/>
    <sheet name="RT03-F25" sheetId="66" r:id="rId2"/>
    <sheet name="H.estadisticas" sheetId="76" state="hidden" r:id="rId3"/>
    <sheet name="Datos" sheetId="77" state="hidden" r:id="rId4"/>
  </sheets>
  <definedNames>
    <definedName name="_xlnm.Print_Area" localSheetId="1">'RT03-F25'!$A$1:$AJ$223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86" i="66" l="1"/>
  <c r="Q187" i="66"/>
  <c r="D213" i="66" l="1"/>
  <c r="E213" i="66"/>
  <c r="C213" i="66"/>
  <c r="Z169" i="66"/>
  <c r="Y169" i="66"/>
  <c r="X169" i="66"/>
  <c r="D168" i="66" l="1"/>
  <c r="D169" i="66"/>
  <c r="D170" i="66"/>
  <c r="D171" i="66"/>
  <c r="D172" i="66"/>
  <c r="D173" i="66"/>
  <c r="D174" i="66"/>
  <c r="D175" i="66"/>
  <c r="C168" i="66"/>
  <c r="C169" i="66"/>
  <c r="C170" i="66"/>
  <c r="C171" i="66"/>
  <c r="C172" i="66"/>
  <c r="C173" i="66"/>
  <c r="C174" i="66"/>
  <c r="C175" i="66"/>
  <c r="D167" i="66"/>
  <c r="C167" i="66"/>
  <c r="B168" i="66"/>
  <c r="B169" i="66"/>
  <c r="B170" i="66"/>
  <c r="B171" i="66"/>
  <c r="B172" i="66"/>
  <c r="B173" i="66"/>
  <c r="B174" i="66"/>
  <c r="B175" i="66"/>
  <c r="B167" i="66"/>
  <c r="AG35" i="66"/>
  <c r="AG36" i="66"/>
  <c r="AG37" i="66"/>
  <c r="AG38" i="66"/>
  <c r="AG39" i="66"/>
  <c r="AG40" i="66"/>
  <c r="AG41" i="66"/>
  <c r="AG42" i="66"/>
  <c r="AG43" i="66"/>
  <c r="AG44" i="66"/>
  <c r="AG45" i="66"/>
  <c r="AG46" i="66"/>
  <c r="AG47" i="66"/>
  <c r="AG48" i="66"/>
  <c r="AG49" i="66"/>
  <c r="AG50" i="66"/>
  <c r="AG51" i="66"/>
  <c r="AG52" i="66"/>
  <c r="AG53" i="66"/>
  <c r="AG54" i="66"/>
  <c r="AG55" i="66"/>
  <c r="AG56" i="66"/>
  <c r="AG57" i="66"/>
  <c r="AG58" i="66"/>
  <c r="AG59" i="66"/>
  <c r="AG60" i="66"/>
  <c r="AG34" i="66"/>
  <c r="F32" i="66"/>
  <c r="E32" i="66"/>
  <c r="D32" i="66"/>
  <c r="E63" i="66" l="1"/>
  <c r="F51" i="66"/>
  <c r="E51" i="66"/>
  <c r="D51" i="66"/>
  <c r="D50" i="66" l="1"/>
  <c r="D56" i="66"/>
  <c r="F50" i="66"/>
  <c r="M65" i="66" s="1"/>
  <c r="E50" i="66"/>
  <c r="L65" i="66" s="1"/>
  <c r="E64" i="66"/>
  <c r="F64" i="66"/>
  <c r="E65" i="66"/>
  <c r="F65" i="66"/>
  <c r="E66" i="66"/>
  <c r="F66" i="66"/>
  <c r="E67" i="66"/>
  <c r="F67" i="66"/>
  <c r="D65" i="66"/>
  <c r="D66" i="66"/>
  <c r="D67" i="66"/>
  <c r="D64" i="66"/>
  <c r="W26" i="66"/>
  <c r="W24" i="66"/>
  <c r="K64" i="66" l="1"/>
  <c r="D55" i="66"/>
  <c r="D53" i="66"/>
  <c r="AH49" i="66"/>
  <c r="AI49" i="66" s="1"/>
  <c r="AH54" i="66"/>
  <c r="AI54" i="66" s="1"/>
  <c r="AH57" i="66"/>
  <c r="AI57" i="66" s="1"/>
  <c r="AH43" i="66"/>
  <c r="AI43" i="66" s="1"/>
  <c r="AH46" i="66"/>
  <c r="AI46" i="66" s="1"/>
  <c r="AH52" i="66"/>
  <c r="AI52" i="66" s="1"/>
  <c r="AH55" i="66"/>
  <c r="AI55" i="66" s="1"/>
  <c r="AH60" i="66"/>
  <c r="AI60" i="66" s="1"/>
  <c r="AH44" i="66"/>
  <c r="AI44" i="66" s="1"/>
  <c r="AH47" i="66"/>
  <c r="AI47" i="66" s="1"/>
  <c r="AH50" i="66"/>
  <c r="AI50" i="66" s="1"/>
  <c r="AH53" i="66"/>
  <c r="AI53" i="66" s="1"/>
  <c r="AH58" i="66"/>
  <c r="AI58" i="66" s="1"/>
  <c r="AH45" i="66"/>
  <c r="AI45" i="66" s="1"/>
  <c r="AH48" i="66"/>
  <c r="AI48" i="66" s="1"/>
  <c r="AH51" i="66"/>
  <c r="AI51" i="66" s="1"/>
  <c r="AH56" i="66"/>
  <c r="AI56" i="66" s="1"/>
  <c r="AH59" i="66"/>
  <c r="AI59" i="66" s="1"/>
  <c r="M66" i="66"/>
  <c r="L66" i="66"/>
  <c r="M64" i="66"/>
  <c r="M67" i="66"/>
  <c r="K67" i="66"/>
  <c r="K65" i="66"/>
  <c r="L64" i="66"/>
  <c r="L67" i="66"/>
  <c r="K66" i="66"/>
  <c r="K78" i="66" l="1"/>
  <c r="K95" i="66" s="1"/>
  <c r="D148" i="66"/>
  <c r="L78" i="66"/>
  <c r="L95" i="66" s="1"/>
  <c r="M79" i="66"/>
  <c r="M96" i="66" s="1"/>
  <c r="E77" i="66"/>
  <c r="E94" i="66" s="1"/>
  <c r="E79" i="66"/>
  <c r="E96" i="66" s="1"/>
  <c r="D77" i="66"/>
  <c r="D94" i="66" s="1"/>
  <c r="L77" i="66"/>
  <c r="L94" i="66" s="1"/>
  <c r="M78" i="66"/>
  <c r="M95" i="66" s="1"/>
  <c r="K80" i="66"/>
  <c r="K97" i="66" s="1"/>
  <c r="F77" i="66"/>
  <c r="F94" i="66" s="1"/>
  <c r="F79" i="66"/>
  <c r="F96" i="66" s="1"/>
  <c r="D78" i="66"/>
  <c r="D95" i="66" s="1"/>
  <c r="M77" i="66"/>
  <c r="M94" i="66" s="1"/>
  <c r="L80" i="66"/>
  <c r="L97" i="66" s="1"/>
  <c r="E78" i="66"/>
  <c r="E95" i="66" s="1"/>
  <c r="E80" i="66"/>
  <c r="E97" i="66" s="1"/>
  <c r="D79" i="66"/>
  <c r="D96" i="66" s="1"/>
  <c r="L79" i="66"/>
  <c r="L96" i="66" s="1"/>
  <c r="M80" i="66"/>
  <c r="M97" i="66" s="1"/>
  <c r="F78" i="66"/>
  <c r="F95" i="66" s="1"/>
  <c r="F80" i="66"/>
  <c r="F97" i="66" s="1"/>
  <c r="D80" i="66"/>
  <c r="D97" i="66" s="1"/>
  <c r="K79" i="66"/>
  <c r="K96" i="66" s="1"/>
  <c r="K77" i="66"/>
  <c r="K94" i="66" s="1"/>
  <c r="F33" i="66" l="1"/>
  <c r="E33" i="66"/>
  <c r="D33" i="66"/>
  <c r="C227" i="74" l="1"/>
  <c r="E211" i="66" l="1"/>
  <c r="D211" i="66"/>
  <c r="C211" i="66"/>
  <c r="D166" i="66"/>
  <c r="N166" i="66" s="1"/>
  <c r="C166" i="66"/>
  <c r="M166" i="66" s="1"/>
  <c r="B166" i="66"/>
  <c r="L166" i="66" s="1"/>
  <c r="H108" i="66"/>
  <c r="P106" i="66" s="1"/>
  <c r="D63" i="66"/>
  <c r="F62" i="66"/>
  <c r="E62" i="66"/>
  <c r="F61" i="66"/>
  <c r="D60" i="66"/>
  <c r="E59" i="66"/>
  <c r="D59" i="66"/>
  <c r="D54" i="66"/>
  <c r="F63" i="66"/>
  <c r="D62" i="66"/>
  <c r="E61" i="66"/>
  <c r="E60" i="66"/>
  <c r="C215" i="66"/>
  <c r="C222" i="74"/>
  <c r="C223" i="74" s="1"/>
  <c r="C224" i="74" s="1"/>
  <c r="F221" i="74"/>
  <c r="F210" i="74"/>
  <c r="E189" i="74"/>
  <c r="F212" i="74" s="1"/>
  <c r="F213" i="74" s="1"/>
  <c r="E188" i="74"/>
  <c r="F150" i="74"/>
  <c r="E150" i="74"/>
  <c r="D150" i="74"/>
  <c r="C150" i="74"/>
  <c r="B150" i="74"/>
  <c r="F149" i="74"/>
  <c r="E149" i="74"/>
  <c r="D149" i="74"/>
  <c r="C149" i="74"/>
  <c r="B149" i="74"/>
  <c r="U140" i="74"/>
  <c r="T140" i="74"/>
  <c r="V139" i="74"/>
  <c r="U138" i="74"/>
  <c r="T138" i="74"/>
  <c r="S138" i="74"/>
  <c r="S140" i="74" s="1"/>
  <c r="R138" i="74"/>
  <c r="R140" i="74" s="1"/>
  <c r="Q138" i="74"/>
  <c r="Q140" i="74" s="1"/>
  <c r="P138" i="74"/>
  <c r="P140" i="74" s="1"/>
  <c r="O138" i="74"/>
  <c r="O140" i="74" s="1"/>
  <c r="N138" i="74"/>
  <c r="N140" i="74" s="1"/>
  <c r="AA113" i="74"/>
  <c r="Z113" i="74"/>
  <c r="Y113" i="74"/>
  <c r="X113" i="74"/>
  <c r="W113" i="74"/>
  <c r="J128" i="74" s="1"/>
  <c r="F156" i="74" s="1"/>
  <c r="V113" i="74"/>
  <c r="U113" i="74"/>
  <c r="T113" i="74"/>
  <c r="S113" i="74"/>
  <c r="H128" i="74" s="1"/>
  <c r="E156" i="74" s="1"/>
  <c r="Q113" i="74"/>
  <c r="P113" i="74"/>
  <c r="O113" i="74"/>
  <c r="N113" i="74"/>
  <c r="F121" i="74" s="1"/>
  <c r="D140" i="74" s="1"/>
  <c r="M113" i="74"/>
  <c r="L113" i="74"/>
  <c r="K113" i="74"/>
  <c r="J113" i="74"/>
  <c r="I113" i="74"/>
  <c r="H113" i="74"/>
  <c r="G113" i="74"/>
  <c r="F113" i="74"/>
  <c r="E113" i="74"/>
  <c r="D113" i="74"/>
  <c r="C113" i="74"/>
  <c r="B113" i="74"/>
  <c r="B128" i="74" s="1"/>
  <c r="B156" i="74" s="1"/>
  <c r="AA112" i="74"/>
  <c r="Z112" i="74"/>
  <c r="Y112" i="74"/>
  <c r="X112" i="74"/>
  <c r="W112" i="74"/>
  <c r="V112" i="74"/>
  <c r="U112" i="74"/>
  <c r="T112" i="74"/>
  <c r="S112" i="74"/>
  <c r="Q112" i="74"/>
  <c r="P112" i="74"/>
  <c r="O112" i="74"/>
  <c r="F127" i="74" s="1"/>
  <c r="D155" i="74" s="1"/>
  <c r="N112" i="74"/>
  <c r="M112" i="74"/>
  <c r="L112" i="74"/>
  <c r="K112" i="74"/>
  <c r="J112" i="74"/>
  <c r="I112" i="74"/>
  <c r="H112" i="74"/>
  <c r="G112" i="74"/>
  <c r="F112" i="74"/>
  <c r="E112" i="74"/>
  <c r="D112" i="74"/>
  <c r="C112" i="74"/>
  <c r="B120" i="74" s="1"/>
  <c r="B112" i="74"/>
  <c r="AA111" i="74"/>
  <c r="Z111" i="74"/>
  <c r="Y111" i="74"/>
  <c r="X111" i="74"/>
  <c r="W111" i="74"/>
  <c r="V111" i="74"/>
  <c r="U111" i="74"/>
  <c r="T111" i="74"/>
  <c r="S111" i="74"/>
  <c r="Q111" i="74"/>
  <c r="P111" i="74"/>
  <c r="O111" i="74"/>
  <c r="N111" i="74"/>
  <c r="M111" i="74"/>
  <c r="L111" i="74"/>
  <c r="K111" i="74"/>
  <c r="J111" i="74"/>
  <c r="I111" i="74"/>
  <c r="H111" i="74"/>
  <c r="G111" i="74"/>
  <c r="F111" i="74"/>
  <c r="E111" i="74"/>
  <c r="D111" i="74"/>
  <c r="C111" i="74"/>
  <c r="B111" i="74"/>
  <c r="B126" i="74" s="1"/>
  <c r="B154" i="74" s="1"/>
  <c r="AA110" i="74"/>
  <c r="Z110" i="74"/>
  <c r="J118" i="74" s="1"/>
  <c r="F144" i="74" s="1"/>
  <c r="Y110" i="74"/>
  <c r="X110" i="74"/>
  <c r="W110" i="74"/>
  <c r="V110" i="74"/>
  <c r="U110" i="74"/>
  <c r="T110" i="74"/>
  <c r="S110" i="74"/>
  <c r="Q110" i="74"/>
  <c r="P110" i="74"/>
  <c r="O110" i="74"/>
  <c r="N110" i="74"/>
  <c r="M110" i="74"/>
  <c r="L110" i="74"/>
  <c r="K110" i="74"/>
  <c r="J110" i="74"/>
  <c r="I110" i="74"/>
  <c r="H110" i="74"/>
  <c r="G110" i="74"/>
  <c r="F110" i="74"/>
  <c r="E110" i="74"/>
  <c r="D110" i="74"/>
  <c r="C110" i="74"/>
  <c r="B110" i="74"/>
  <c r="K85" i="74"/>
  <c r="K86" i="74" s="1"/>
  <c r="K87" i="74" s="1"/>
  <c r="K88" i="74" s="1"/>
  <c r="J85" i="74"/>
  <c r="J86" i="74" s="1"/>
  <c r="J87" i="74" s="1"/>
  <c r="J88" i="74" s="1"/>
  <c r="F77" i="74"/>
  <c r="A77" i="74"/>
  <c r="A86" i="74" s="1"/>
  <c r="A112" i="74" s="1"/>
  <c r="A120" i="74" s="1"/>
  <c r="A127" i="74" s="1"/>
  <c r="D76" i="74"/>
  <c r="B75" i="74"/>
  <c r="J48" i="74"/>
  <c r="J49" i="74" s="1"/>
  <c r="J50" i="74" s="1"/>
  <c r="K47" i="74"/>
  <c r="K48" i="74" s="1"/>
  <c r="K49" i="74" s="1"/>
  <c r="K50" i="74" s="1"/>
  <c r="J47" i="74"/>
  <c r="M46" i="74"/>
  <c r="M47" i="74" s="1"/>
  <c r="M48" i="74" s="1"/>
  <c r="M49" i="74" s="1"/>
  <c r="M50" i="74" s="1"/>
  <c r="L46" i="74"/>
  <c r="L47" i="74" s="1"/>
  <c r="L48" i="74" s="1"/>
  <c r="L49" i="74" s="1"/>
  <c r="L50" i="74" s="1"/>
  <c r="F32" i="74"/>
  <c r="F78" i="74" s="1"/>
  <c r="E32" i="74"/>
  <c r="E78" i="74" s="1"/>
  <c r="D32" i="74"/>
  <c r="D78" i="74" s="1"/>
  <c r="C32" i="74"/>
  <c r="C78" i="74" s="1"/>
  <c r="B32" i="74"/>
  <c r="B78" i="74" s="1"/>
  <c r="F31" i="74"/>
  <c r="E31" i="74"/>
  <c r="E77" i="74" s="1"/>
  <c r="D31" i="74"/>
  <c r="D77" i="74" s="1"/>
  <c r="C31" i="74"/>
  <c r="C77" i="74" s="1"/>
  <c r="B31" i="74"/>
  <c r="B77" i="74" s="1"/>
  <c r="F30" i="74"/>
  <c r="F76" i="74" s="1"/>
  <c r="E30" i="74"/>
  <c r="E76" i="74" s="1"/>
  <c r="D30" i="74"/>
  <c r="C30" i="74"/>
  <c r="C76" i="74" s="1"/>
  <c r="B30" i="74"/>
  <c r="B76" i="74" s="1"/>
  <c r="F29" i="74"/>
  <c r="F75" i="74" s="1"/>
  <c r="E29" i="74"/>
  <c r="E75" i="74" s="1"/>
  <c r="D29" i="74"/>
  <c r="D75" i="74" s="1"/>
  <c r="C29" i="74"/>
  <c r="C75" i="74" s="1"/>
  <c r="B29" i="74"/>
  <c r="F25" i="74"/>
  <c r="E25" i="74"/>
  <c r="D25" i="74"/>
  <c r="C25" i="74"/>
  <c r="B25" i="74"/>
  <c r="A25" i="74"/>
  <c r="A32" i="74" s="1"/>
  <c r="A49" i="74" s="1"/>
  <c r="A78" i="74" s="1"/>
  <c r="A87" i="74" s="1"/>
  <c r="A113" i="74" s="1"/>
  <c r="A121" i="74" s="1"/>
  <c r="A128" i="74" s="1"/>
  <c r="F24" i="74"/>
  <c r="C228" i="74" s="1"/>
  <c r="C229" i="74" s="1"/>
  <c r="E24" i="74"/>
  <c r="D24" i="74"/>
  <c r="C24" i="74"/>
  <c r="B24" i="74"/>
  <c r="A24" i="74"/>
  <c r="A31" i="74" s="1"/>
  <c r="A48" i="74" s="1"/>
  <c r="F23" i="74"/>
  <c r="E23" i="74"/>
  <c r="D23" i="74"/>
  <c r="C23" i="74"/>
  <c r="B23" i="74"/>
  <c r="A23" i="74"/>
  <c r="A30" i="74" s="1"/>
  <c r="A47" i="74" s="1"/>
  <c r="A76" i="74" s="1"/>
  <c r="A85" i="74" s="1"/>
  <c r="A111" i="74" s="1"/>
  <c r="A119" i="74" s="1"/>
  <c r="A126" i="74" s="1"/>
  <c r="F22" i="74"/>
  <c r="E22" i="74"/>
  <c r="D22" i="74"/>
  <c r="D38" i="74" s="1"/>
  <c r="C22" i="74"/>
  <c r="C41" i="74" s="1"/>
  <c r="B22" i="74"/>
  <c r="A22" i="74"/>
  <c r="A29" i="74" s="1"/>
  <c r="A46" i="74" s="1"/>
  <c r="A75" i="74" s="1"/>
  <c r="A84" i="74" s="1"/>
  <c r="A110" i="74" s="1"/>
  <c r="A118" i="74" s="1"/>
  <c r="A125" i="74" s="1"/>
  <c r="A20" i="74"/>
  <c r="A27" i="74" s="1"/>
  <c r="A44" i="74" s="1"/>
  <c r="A73" i="74" s="1"/>
  <c r="A82" i="74" s="1"/>
  <c r="A108" i="74" s="1"/>
  <c r="A115" i="74" s="1"/>
  <c r="A124" i="74" s="1"/>
  <c r="D41" i="74" l="1"/>
  <c r="D47" i="74" s="1"/>
  <c r="J119" i="74"/>
  <c r="F128" i="74"/>
  <c r="D156" i="74" s="1"/>
  <c r="C230" i="74"/>
  <c r="F125" i="74"/>
  <c r="D153" i="74" s="1"/>
  <c r="H125" i="74"/>
  <c r="E153" i="74" s="1"/>
  <c r="H119" i="74"/>
  <c r="E138" i="74" s="1"/>
  <c r="F120" i="74"/>
  <c r="D146" i="74" s="1"/>
  <c r="F80" i="74"/>
  <c r="H120" i="74"/>
  <c r="D121" i="74"/>
  <c r="C147" i="74" s="1"/>
  <c r="H121" i="74"/>
  <c r="E147" i="74" s="1"/>
  <c r="V140" i="74"/>
  <c r="E41" i="74"/>
  <c r="B146" i="74"/>
  <c r="B139" i="74"/>
  <c r="E157" i="74"/>
  <c r="D49" i="74"/>
  <c r="E139" i="74"/>
  <c r="E146" i="74"/>
  <c r="D147" i="74"/>
  <c r="H118" i="74"/>
  <c r="E140" i="74"/>
  <c r="C86" i="74"/>
  <c r="D46" i="74"/>
  <c r="E80" i="74"/>
  <c r="B125" i="74"/>
  <c r="B153" i="74" s="1"/>
  <c r="B118" i="74"/>
  <c r="J125" i="74"/>
  <c r="F153" i="74" s="1"/>
  <c r="D119" i="74"/>
  <c r="F126" i="74"/>
  <c r="D154" i="74" s="1"/>
  <c r="D157" i="74" s="1"/>
  <c r="D158" i="74" s="1"/>
  <c r="F119" i="74"/>
  <c r="J126" i="74"/>
  <c r="F154" i="74" s="1"/>
  <c r="D120" i="74"/>
  <c r="D127" i="74"/>
  <c r="C155" i="74" s="1"/>
  <c r="H126" i="74"/>
  <c r="E154" i="74" s="1"/>
  <c r="D139" i="74"/>
  <c r="C231" i="74"/>
  <c r="F60" i="66"/>
  <c r="D61" i="66"/>
  <c r="C80" i="74"/>
  <c r="B87" i="74"/>
  <c r="D118" i="74"/>
  <c r="D125" i="74"/>
  <c r="C153" i="74" s="1"/>
  <c r="F137" i="74"/>
  <c r="F209" i="74"/>
  <c r="F215" i="74" s="1"/>
  <c r="E38" i="74"/>
  <c r="D126" i="74"/>
  <c r="C154" i="74" s="1"/>
  <c r="B127" i="74"/>
  <c r="B155" i="74" s="1"/>
  <c r="J127" i="74"/>
  <c r="F155" i="74" s="1"/>
  <c r="J120" i="74"/>
  <c r="C219" i="66"/>
  <c r="L210" i="66" s="1"/>
  <c r="F59" i="66"/>
  <c r="F54" i="66"/>
  <c r="E54" i="66"/>
  <c r="D48" i="74"/>
  <c r="D80" i="74"/>
  <c r="B80" i="74"/>
  <c r="F87" i="74" s="1"/>
  <c r="F118" i="74"/>
  <c r="B119" i="74"/>
  <c r="H127" i="74"/>
  <c r="E155" i="74" s="1"/>
  <c r="D128" i="74"/>
  <c r="C156" i="74" s="1"/>
  <c r="C38" i="74"/>
  <c r="C48" i="74" s="1"/>
  <c r="B41" i="74"/>
  <c r="F41" i="74"/>
  <c r="B121" i="74"/>
  <c r="J121" i="74"/>
  <c r="B38" i="74"/>
  <c r="B48" i="74" s="1"/>
  <c r="F38" i="74"/>
  <c r="V138" i="74"/>
  <c r="K42" i="66" l="1"/>
  <c r="X42" i="66" s="1"/>
  <c r="K40" i="66"/>
  <c r="X40" i="66" s="1"/>
  <c r="K39" i="66"/>
  <c r="X39" i="66" s="1"/>
  <c r="K41" i="66"/>
  <c r="X41" i="66" s="1"/>
  <c r="L39" i="66"/>
  <c r="X48" i="66" s="1"/>
  <c r="L41" i="66"/>
  <c r="X50" i="66" s="1"/>
  <c r="L42" i="66"/>
  <c r="X51" i="66" s="1"/>
  <c r="L40" i="66"/>
  <c r="X49" i="66" s="1"/>
  <c r="M39" i="66"/>
  <c r="X57" i="66" s="1"/>
  <c r="M42" i="66"/>
  <c r="X60" i="66" s="1"/>
  <c r="M41" i="66"/>
  <c r="X59" i="66" s="1"/>
  <c r="M40" i="66"/>
  <c r="X58" i="66" s="1"/>
  <c r="C217" i="66"/>
  <c r="C46" i="74"/>
  <c r="D87" i="74"/>
  <c r="C140" i="74"/>
  <c r="D85" i="74"/>
  <c r="D86" i="74"/>
  <c r="E145" i="74"/>
  <c r="C87" i="74"/>
  <c r="C85" i="74"/>
  <c r="B84" i="74"/>
  <c r="F84" i="74"/>
  <c r="C84" i="74"/>
  <c r="E87" i="74"/>
  <c r="D52" i="66"/>
  <c r="F48" i="74"/>
  <c r="F49" i="74"/>
  <c r="C178" i="74"/>
  <c r="D192" i="74" s="1"/>
  <c r="C212" i="66"/>
  <c r="K61" i="66"/>
  <c r="D147" i="66"/>
  <c r="K62" i="66"/>
  <c r="F73" i="66"/>
  <c r="F90" i="66" s="1"/>
  <c r="K63" i="66"/>
  <c r="K59" i="66"/>
  <c r="K60" i="66"/>
  <c r="B147" i="74"/>
  <c r="B140" i="74"/>
  <c r="L60" i="66"/>
  <c r="D212" i="66"/>
  <c r="L61" i="66"/>
  <c r="L62" i="66"/>
  <c r="L63" i="66"/>
  <c r="E147" i="66"/>
  <c r="L59" i="66"/>
  <c r="D144" i="74"/>
  <c r="D137" i="74"/>
  <c r="B47" i="74"/>
  <c r="F52" i="66"/>
  <c r="M63" i="66"/>
  <c r="M59" i="66"/>
  <c r="M60" i="66"/>
  <c r="M61" i="66"/>
  <c r="F147" i="66"/>
  <c r="E212" i="66"/>
  <c r="M62" i="66"/>
  <c r="E47" i="74"/>
  <c r="E46" i="74"/>
  <c r="E49" i="74"/>
  <c r="F157" i="74"/>
  <c r="F158" i="74" s="1"/>
  <c r="F46" i="74"/>
  <c r="M36" i="66"/>
  <c r="X54" i="66" s="1"/>
  <c r="F85" i="74"/>
  <c r="D84" i="74"/>
  <c r="F86" i="74"/>
  <c r="B85" i="74"/>
  <c r="E86" i="74"/>
  <c r="B49" i="74"/>
  <c r="E52" i="66"/>
  <c r="F168" i="66"/>
  <c r="M38" i="66"/>
  <c r="X56" i="66" s="1"/>
  <c r="M34" i="66"/>
  <c r="C49" i="74"/>
  <c r="B86" i="74"/>
  <c r="E85" i="74"/>
  <c r="L37" i="66"/>
  <c r="X46" i="66" s="1"/>
  <c r="M35" i="66"/>
  <c r="X53" i="66" s="1"/>
  <c r="D145" i="74"/>
  <c r="D138" i="74"/>
  <c r="B137" i="74"/>
  <c r="B144" i="74"/>
  <c r="E84" i="74"/>
  <c r="B46" i="74"/>
  <c r="L35" i="66"/>
  <c r="X44" i="66" s="1"/>
  <c r="F138" i="74"/>
  <c r="F145" i="74"/>
  <c r="M37" i="66"/>
  <c r="X55" i="66" s="1"/>
  <c r="C216" i="66"/>
  <c r="K38" i="66"/>
  <c r="X38" i="66" s="1"/>
  <c r="K34" i="66"/>
  <c r="X34" i="66" s="1"/>
  <c r="F146" i="74"/>
  <c r="F139" i="74"/>
  <c r="E48" i="74"/>
  <c r="C157" i="74"/>
  <c r="C158" i="74" s="1"/>
  <c r="K36" i="66"/>
  <c r="X36" i="66" s="1"/>
  <c r="B157" i="74"/>
  <c r="B158" i="74" s="1"/>
  <c r="L38" i="66"/>
  <c r="X47" i="66" s="1"/>
  <c r="E158" i="74"/>
  <c r="F147" i="74"/>
  <c r="F140" i="74"/>
  <c r="K35" i="66"/>
  <c r="X35" i="66" s="1"/>
  <c r="B145" i="74"/>
  <c r="B138" i="74"/>
  <c r="F47" i="74"/>
  <c r="L36" i="66"/>
  <c r="X45" i="66" s="1"/>
  <c r="H107" i="66"/>
  <c r="AH40" i="66"/>
  <c r="AI40" i="66" s="1"/>
  <c r="AH36" i="66"/>
  <c r="AI36" i="66" s="1"/>
  <c r="AH41" i="66"/>
  <c r="AI41" i="66" s="1"/>
  <c r="AH37" i="66"/>
  <c r="AI37" i="66" s="1"/>
  <c r="D152" i="66"/>
  <c r="C214" i="66"/>
  <c r="E152" i="66"/>
  <c r="AH39" i="66"/>
  <c r="AI39" i="66" s="1"/>
  <c r="AH35" i="66"/>
  <c r="AI35" i="66" s="1"/>
  <c r="AH34" i="66"/>
  <c r="AI34" i="66" s="1"/>
  <c r="AH38" i="66"/>
  <c r="AI38" i="66" s="1"/>
  <c r="AH42" i="66"/>
  <c r="AI42" i="66" s="1"/>
  <c r="K37" i="66"/>
  <c r="X37" i="66" s="1"/>
  <c r="C47" i="74"/>
  <c r="C137" i="74"/>
  <c r="C144" i="74"/>
  <c r="L34" i="66"/>
  <c r="X43" i="66" s="1"/>
  <c r="C146" i="74"/>
  <c r="C139" i="74"/>
  <c r="C145" i="74"/>
  <c r="C138" i="74"/>
  <c r="E144" i="74"/>
  <c r="E148" i="74" s="1"/>
  <c r="E137" i="74"/>
  <c r="E141" i="74" s="1"/>
  <c r="B179" i="74" s="1"/>
  <c r="E191" i="74" s="1"/>
  <c r="M55" i="66" l="1"/>
  <c r="X52" i="66"/>
  <c r="F190" i="66"/>
  <c r="F192" i="66"/>
  <c r="F182" i="66"/>
  <c r="F191" i="66"/>
  <c r="F187" i="66"/>
  <c r="F189" i="66"/>
  <c r="F184" i="66"/>
  <c r="F193" i="66"/>
  <c r="F185" i="66"/>
  <c r="F188" i="66"/>
  <c r="F183" i="66"/>
  <c r="F186" i="66"/>
  <c r="Q188" i="66"/>
  <c r="T183" i="66" s="1"/>
  <c r="U185" i="66" s="1"/>
  <c r="F180" i="66"/>
  <c r="F175" i="66"/>
  <c r="F174" i="66"/>
  <c r="F173" i="66"/>
  <c r="F179" i="66"/>
  <c r="F178" i="66"/>
  <c r="F177" i="66"/>
  <c r="F176" i="66"/>
  <c r="F171" i="66"/>
  <c r="F170" i="66"/>
  <c r="F169" i="66"/>
  <c r="F172" i="66"/>
  <c r="F167" i="66"/>
  <c r="F181" i="66"/>
  <c r="M50" i="66"/>
  <c r="L50" i="66"/>
  <c r="L55" i="66"/>
  <c r="K55" i="66"/>
  <c r="K50" i="66"/>
  <c r="T40" i="66"/>
  <c r="T65" i="66"/>
  <c r="T78" i="66" s="1"/>
  <c r="T95" i="66" s="1"/>
  <c r="T41" i="66"/>
  <c r="T66" i="66"/>
  <c r="T79" i="66" s="1"/>
  <c r="T96" i="66" s="1"/>
  <c r="T42" i="66"/>
  <c r="T67" i="66"/>
  <c r="T80" i="66" s="1"/>
  <c r="T97" i="66" s="1"/>
  <c r="T39" i="66"/>
  <c r="T64" i="66"/>
  <c r="T77" i="66" s="1"/>
  <c r="T94" i="66" s="1"/>
  <c r="S41" i="66"/>
  <c r="S66" i="66"/>
  <c r="S79" i="66" s="1"/>
  <c r="S96" i="66" s="1"/>
  <c r="S40" i="66"/>
  <c r="S65" i="66"/>
  <c r="S78" i="66" s="1"/>
  <c r="S95" i="66" s="1"/>
  <c r="S42" i="66"/>
  <c r="S67" i="66"/>
  <c r="S80" i="66" s="1"/>
  <c r="S97" i="66" s="1"/>
  <c r="S39" i="66"/>
  <c r="S64" i="66"/>
  <c r="S77" i="66" s="1"/>
  <c r="S94" i="66" s="1"/>
  <c r="R40" i="66"/>
  <c r="R65" i="66"/>
  <c r="R78" i="66" s="1"/>
  <c r="R95" i="66" s="1"/>
  <c r="R41" i="66"/>
  <c r="R66" i="66"/>
  <c r="R79" i="66" s="1"/>
  <c r="R96" i="66" s="1"/>
  <c r="R39" i="66"/>
  <c r="R64" i="66"/>
  <c r="R77" i="66" s="1"/>
  <c r="R94" i="66" s="1"/>
  <c r="R42" i="66"/>
  <c r="R67" i="66"/>
  <c r="R80" i="66" s="1"/>
  <c r="R97" i="66" s="1"/>
  <c r="L72" i="66"/>
  <c r="L89" i="66" s="1"/>
  <c r="L74" i="66"/>
  <c r="L91" i="66" s="1"/>
  <c r="C141" i="74"/>
  <c r="B177" i="74" s="1"/>
  <c r="C191" i="74" s="1"/>
  <c r="M76" i="66"/>
  <c r="M93" i="66" s="1"/>
  <c r="D74" i="66"/>
  <c r="D91" i="66" s="1"/>
  <c r="M74" i="66"/>
  <c r="M91" i="66" s="1"/>
  <c r="D57" i="66"/>
  <c r="L76" i="66"/>
  <c r="L93" i="66" s="1"/>
  <c r="L73" i="66"/>
  <c r="L90" i="66" s="1"/>
  <c r="K72" i="66"/>
  <c r="K89" i="66" s="1"/>
  <c r="F72" i="66"/>
  <c r="F89" i="66" s="1"/>
  <c r="M72" i="66"/>
  <c r="M89" i="66" s="1"/>
  <c r="L75" i="66"/>
  <c r="L92" i="66" s="1"/>
  <c r="K76" i="66"/>
  <c r="K93" i="66" s="1"/>
  <c r="K74" i="66"/>
  <c r="K91" i="66" s="1"/>
  <c r="M75" i="66"/>
  <c r="M92" i="66" s="1"/>
  <c r="M73" i="66"/>
  <c r="M90" i="66" s="1"/>
  <c r="K73" i="66"/>
  <c r="K90" i="66" s="1"/>
  <c r="K75" i="66"/>
  <c r="K92" i="66" s="1"/>
  <c r="F141" i="74"/>
  <c r="B180" i="74" s="1"/>
  <c r="F191" i="74" s="1"/>
  <c r="W168" i="66"/>
  <c r="X168" i="66"/>
  <c r="Y168" i="66"/>
  <c r="C148" i="74"/>
  <c r="C159" i="74" s="1"/>
  <c r="C176" i="74"/>
  <c r="B192" i="74" s="1"/>
  <c r="R61" i="66"/>
  <c r="R74" i="66" s="1"/>
  <c r="R91" i="66" s="1"/>
  <c r="R36" i="66"/>
  <c r="R34" i="66"/>
  <c r="R59" i="66"/>
  <c r="R72" i="66" s="1"/>
  <c r="R89" i="66" s="1"/>
  <c r="S60" i="66"/>
  <c r="S73" i="66" s="1"/>
  <c r="S90" i="66" s="1"/>
  <c r="S35" i="66"/>
  <c r="T60" i="66"/>
  <c r="T73" i="66" s="1"/>
  <c r="T90" i="66" s="1"/>
  <c r="T35" i="66"/>
  <c r="T63" i="66"/>
  <c r="T76" i="66" s="1"/>
  <c r="T93" i="66" s="1"/>
  <c r="T38" i="66"/>
  <c r="C180" i="74"/>
  <c r="F192" i="74" s="1"/>
  <c r="P144" i="66"/>
  <c r="S34" i="66"/>
  <c r="S59" i="66"/>
  <c r="S72" i="66" s="1"/>
  <c r="S89" i="66" s="1"/>
  <c r="R62" i="66"/>
  <c r="R75" i="66" s="1"/>
  <c r="R92" i="66" s="1"/>
  <c r="R37" i="66"/>
  <c r="P108" i="66"/>
  <c r="H109" i="66"/>
  <c r="P107" i="66" s="1"/>
  <c r="D151" i="66" s="1"/>
  <c r="O144" i="66"/>
  <c r="N145" i="66" s="1"/>
  <c r="O145" i="66" s="1"/>
  <c r="E159" i="74"/>
  <c r="S61" i="66"/>
  <c r="S74" i="66" s="1"/>
  <c r="S91" i="66" s="1"/>
  <c r="S36" i="66"/>
  <c r="S38" i="66"/>
  <c r="S63" i="66"/>
  <c r="S76" i="66" s="1"/>
  <c r="S93" i="66" s="1"/>
  <c r="R38" i="66"/>
  <c r="R63" i="66"/>
  <c r="R76" i="66" s="1"/>
  <c r="R93" i="66" s="1"/>
  <c r="T37" i="66"/>
  <c r="T62" i="66"/>
  <c r="T75" i="66" s="1"/>
  <c r="T92" i="66" s="1"/>
  <c r="B148" i="74"/>
  <c r="Q144" i="66"/>
  <c r="D141" i="74"/>
  <c r="B178" i="74" s="1"/>
  <c r="D191" i="74" s="1"/>
  <c r="C160" i="74"/>
  <c r="C177" i="74"/>
  <c r="C192" i="74" s="1"/>
  <c r="C193" i="74" s="1"/>
  <c r="F148" i="74"/>
  <c r="S37" i="66"/>
  <c r="S62" i="66"/>
  <c r="S75" i="66" s="1"/>
  <c r="S92" i="66" s="1"/>
  <c r="T36" i="66"/>
  <c r="T61" i="66"/>
  <c r="T74" i="66" s="1"/>
  <c r="T91" i="66" s="1"/>
  <c r="C218" i="66"/>
  <c r="C220" i="66" s="1"/>
  <c r="R35" i="66"/>
  <c r="R60" i="66"/>
  <c r="R73" i="66" s="1"/>
  <c r="R90" i="66" s="1"/>
  <c r="C179" i="74"/>
  <c r="E192" i="74" s="1"/>
  <c r="E193" i="74" s="1"/>
  <c r="E160" i="74"/>
  <c r="B141" i="74"/>
  <c r="B176" i="74" s="1"/>
  <c r="B191" i="74" s="1"/>
  <c r="T59" i="66"/>
  <c r="T72" i="66" s="1"/>
  <c r="T89" i="66" s="1"/>
  <c r="T34" i="66"/>
  <c r="D148" i="74"/>
  <c r="D159" i="74" s="1"/>
  <c r="D160" i="74" s="1"/>
  <c r="F75" i="66"/>
  <c r="F92" i="66" s="1"/>
  <c r="E73" i="66"/>
  <c r="E90" i="66" s="1"/>
  <c r="E72" i="66"/>
  <c r="E89" i="66" s="1"/>
  <c r="E75" i="66"/>
  <c r="E92" i="66" s="1"/>
  <c r="D73" i="66"/>
  <c r="D90" i="66" s="1"/>
  <c r="D75" i="66"/>
  <c r="D92" i="66" s="1"/>
  <c r="D76" i="66"/>
  <c r="D93" i="66" s="1"/>
  <c r="E76" i="66"/>
  <c r="E93" i="66" s="1"/>
  <c r="F76" i="66"/>
  <c r="F93" i="66" s="1"/>
  <c r="F74" i="66"/>
  <c r="F91" i="66" s="1"/>
  <c r="E74" i="66"/>
  <c r="E91" i="66" s="1"/>
  <c r="D72" i="66"/>
  <c r="D89" i="66" s="1"/>
  <c r="D193" i="74"/>
  <c r="E99" i="66" l="1"/>
  <c r="D107" i="66" s="1"/>
  <c r="T99" i="66"/>
  <c r="D109" i="66" s="1"/>
  <c r="N107" i="66" s="1"/>
  <c r="R107" i="66" s="1"/>
  <c r="M99" i="66"/>
  <c r="D108" i="66"/>
  <c r="N106" i="66" s="1"/>
  <c r="R106" i="66" s="1"/>
  <c r="F193" i="74"/>
  <c r="F159" i="74"/>
  <c r="F160" i="74" s="1"/>
  <c r="F165" i="74" s="1"/>
  <c r="N146" i="66"/>
  <c r="P145" i="66"/>
  <c r="B194" i="74"/>
  <c r="B193" i="74"/>
  <c r="D178" i="74"/>
  <c r="D165" i="74"/>
  <c r="U170" i="66"/>
  <c r="Z168" i="66"/>
  <c r="S168" i="66"/>
  <c r="E165" i="74"/>
  <c r="D179" i="74"/>
  <c r="N147" i="66"/>
  <c r="Q145" i="66"/>
  <c r="L211" i="66"/>
  <c r="D177" i="74"/>
  <c r="C165" i="74"/>
  <c r="B159" i="74"/>
  <c r="B160" i="74" s="1"/>
  <c r="N108" i="66" l="1"/>
  <c r="D110" i="66"/>
  <c r="AB169" i="66"/>
  <c r="W169" i="66"/>
  <c r="D180" i="74"/>
  <c r="V169" i="66"/>
  <c r="U169" i="66"/>
  <c r="T169" i="66"/>
  <c r="D176" i="74"/>
  <c r="B165" i="74"/>
  <c r="B166" i="74" s="1"/>
  <c r="J217" i="66"/>
  <c r="M211" i="66"/>
  <c r="Q147" i="66"/>
  <c r="T106" i="66"/>
  <c r="D149" i="66"/>
  <c r="D150" i="66" s="1"/>
  <c r="F195" i="74"/>
  <c r="B195" i="74"/>
  <c r="C195" i="74"/>
  <c r="D195" i="74"/>
  <c r="E195" i="74"/>
  <c r="P146" i="66"/>
  <c r="Q146" i="66"/>
  <c r="S106" i="66"/>
  <c r="U106" i="66" s="1"/>
  <c r="AA169" i="66" l="1"/>
  <c r="I183" i="66"/>
  <c r="AJ52" i="66"/>
  <c r="AJ51" i="66"/>
  <c r="AJ56" i="66"/>
  <c r="AJ49" i="66"/>
  <c r="AJ47" i="66"/>
  <c r="AJ57" i="66"/>
  <c r="AJ43" i="66"/>
  <c r="AJ45" i="66"/>
  <c r="AJ53" i="66"/>
  <c r="AJ58" i="66"/>
  <c r="AJ44" i="66"/>
  <c r="AJ59" i="66"/>
  <c r="AJ60" i="66"/>
  <c r="AJ48" i="66"/>
  <c r="AJ55" i="66"/>
  <c r="AJ54" i="66"/>
  <c r="AJ46" i="66"/>
  <c r="AJ50" i="66"/>
  <c r="AC169" i="66"/>
  <c r="O158" i="66"/>
  <c r="D153" i="66"/>
  <c r="D156" i="66"/>
  <c r="AJ38" i="66"/>
  <c r="O151" i="66"/>
  <c r="AJ37" i="66"/>
  <c r="AJ39" i="66"/>
  <c r="AJ41" i="66"/>
  <c r="AJ34" i="66"/>
  <c r="AJ40" i="66"/>
  <c r="AJ36" i="66"/>
  <c r="AJ35" i="66"/>
  <c r="AJ42" i="66"/>
  <c r="E146" i="66" l="1"/>
  <c r="F145" i="66"/>
  <c r="D146" i="66"/>
  <c r="F146" i="66"/>
  <c r="E145" i="66"/>
  <c r="D145" i="66"/>
  <c r="N194" i="66" l="1"/>
  <c r="V168" i="66" s="1"/>
  <c r="L194" i="66"/>
  <c r="T168" i="66" s="1"/>
  <c r="M194" i="66"/>
  <c r="U168" i="66" s="1"/>
  <c r="AC168" i="66" l="1"/>
  <c r="U186" i="66" s="1"/>
  <c r="AC186" i="66" s="1"/>
  <c r="S190" i="66" l="1"/>
  <c r="V186" i="66"/>
</calcChain>
</file>

<file path=xl/comments1.xml><?xml version="1.0" encoding="utf-8"?>
<comments xmlns="http://schemas.openxmlformats.org/spreadsheetml/2006/main">
  <authors>
    <author>Gerente</author>
    <author>Autor</author>
  </authors>
  <commentList>
    <comment ref="J44" authorId="0">
      <text>
        <r>
          <rPr>
            <b/>
            <sz val="9"/>
            <color indexed="81"/>
            <rFont val="Tahoma"/>
            <family val="2"/>
          </rPr>
          <t>los limites viene de las tablas de consistencia h y k mandel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>
      <text>
        <r>
          <rPr>
            <sz val="9"/>
            <color indexed="81"/>
            <rFont val="Tahoma"/>
            <family val="2"/>
          </rPr>
          <t xml:space="preserve">Tener en cuenta que si hay datos que se deban descartar el numero de repeticiones varia
</t>
        </r>
      </text>
    </comment>
    <comment ref="A158" authorId="0">
      <text>
        <r>
          <rPr>
            <sz val="9"/>
            <color indexed="81"/>
            <rFont val="Tahoma"/>
            <family val="2"/>
          </rPr>
          <t>p es el numero de metrologos  o laboratorios</t>
        </r>
      </text>
    </comment>
    <comment ref="B175" authorId="0">
      <text>
        <r>
          <rPr>
            <sz val="9"/>
            <color indexed="81"/>
            <rFont val="Tahoma"/>
            <family val="2"/>
          </rPr>
          <t xml:space="preserve">T1/T3
</t>
        </r>
      </text>
    </comment>
    <comment ref="F211" authorId="1">
      <text>
        <r>
          <rPr>
            <b/>
            <sz val="9"/>
            <color indexed="81"/>
            <rFont val="Tahoma"/>
            <family val="2"/>
          </rPr>
          <t>Viene de la regresion lineal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2" authorId="1">
      <text>
        <r>
          <rPr>
            <b/>
            <sz val="9"/>
            <color indexed="81"/>
            <rFont val="Tahoma"/>
            <family val="2"/>
          </rPr>
          <t xml:space="preserve">numero de niveles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1" authorId="0">
      <text>
        <r>
          <rPr>
            <sz val="9"/>
            <color indexed="81"/>
            <rFont val="Tahoma"/>
            <family val="2"/>
          </rPr>
          <t>Son los numeros de mediciones o repeticiones efcetuadas por metrologo</t>
        </r>
      </text>
    </comment>
    <comment ref="B227" authorId="0">
      <text>
        <r>
          <rPr>
            <sz val="9"/>
            <color indexed="81"/>
            <rFont val="Tahoma"/>
            <family val="2"/>
          </rPr>
          <t>Ingreso de Dato de ls tomados en proceso
en cualquiera de los niveles</t>
        </r>
      </text>
    </comment>
    <comment ref="C230" authorId="1">
      <text>
        <r>
          <rPr>
            <sz val="9"/>
            <color indexed="81"/>
            <rFont val="Tahoma"/>
            <family val="2"/>
          </rPr>
          <t xml:space="preserve">aplica la formula que sale de la regresion el calculo de la linea
</t>
        </r>
      </text>
    </comment>
  </commentList>
</comments>
</file>

<file path=xl/comments2.xml><?xml version="1.0" encoding="utf-8"?>
<comments xmlns="http://schemas.openxmlformats.org/spreadsheetml/2006/main">
  <authors>
    <author>Arcesio Velandia Carreño</author>
    <author>Javier</author>
    <author>Gerente</author>
    <author>Usuario de Windows</author>
    <author>Oscar J. Niño G.</author>
  </authors>
  <commentList>
    <comment ref="T24" authorId="0">
      <text>
        <r>
          <rPr>
            <b/>
            <sz val="9"/>
            <color indexed="81"/>
            <rFont val="Tahoma"/>
            <family val="2"/>
          </rPr>
          <t>Arcesio Velandia Carreño:</t>
        </r>
        <r>
          <rPr>
            <sz val="9"/>
            <color indexed="81"/>
            <rFont val="Tahoma"/>
            <family val="2"/>
          </rPr>
          <t xml:space="preserve">
Numero de datos totales de cada metrólogo x 3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Arcesio Velandia Carreño:</t>
        </r>
        <r>
          <rPr>
            <sz val="9"/>
            <color indexed="81"/>
            <rFont val="Tahoma"/>
            <family val="2"/>
          </rPr>
          <t xml:space="preserve">
Numero de metrologos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Arcesio Velandia Carreño:</t>
        </r>
        <r>
          <rPr>
            <sz val="9"/>
            <color indexed="81"/>
            <rFont val="Tahoma"/>
            <family val="2"/>
          </rPr>
          <t xml:space="preserve">
numero de datos por metrólogo</t>
        </r>
      </text>
    </comment>
    <comment ref="AF32" authorId="1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X33" authorId="1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Z33" authorId="1">
      <text>
        <r>
          <rPr>
            <sz val="9"/>
            <color indexed="81"/>
            <rFont val="Tahoma"/>
            <family val="2"/>
          </rPr>
          <t xml:space="preserve">Se deben ordenar de menor a mayor para poder establecer linealidad
</t>
        </r>
      </text>
    </comment>
    <comment ref="AI33" authorId="1">
      <text>
        <r>
          <rPr>
            <sz val="9"/>
            <color indexed="81"/>
            <rFont val="Tahoma"/>
            <family val="2"/>
          </rPr>
          <t xml:space="preserve">USAR INV.NORM.ESTAND
</t>
        </r>
      </text>
    </comment>
    <comment ref="AG34" authorId="1">
      <text>
        <r>
          <rPr>
            <b/>
            <sz val="9"/>
            <color indexed="81"/>
            <rFont val="Tahoma"/>
            <family val="2"/>
          </rPr>
          <t>Valores de los residuos ordenados Valor - Media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2">
      <text>
        <r>
          <rPr>
            <b/>
            <sz val="9"/>
            <color indexed="81"/>
            <rFont val="Tahoma"/>
            <family val="2"/>
          </rPr>
          <t xml:space="preserve">Valor medido de cada analista -(promedio de promedios)
</t>
        </r>
      </text>
    </comment>
    <comment ref="E99" authorId="1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</t>
        </r>
      </text>
    </comment>
    <comment ref="M99" authorId="1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T99" authorId="1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G107" authorId="1">
      <text>
        <r>
          <rPr>
            <sz val="9"/>
            <color indexed="81"/>
            <rFont val="Tahoma"/>
            <family val="2"/>
          </rPr>
          <t xml:space="preserve">n = numero de datos totales
</t>
        </r>
      </text>
    </comment>
    <comment ref="G108" authorId="1">
      <text>
        <r>
          <rPr>
            <sz val="9"/>
            <color indexed="81"/>
            <rFont val="Tahoma"/>
            <family val="2"/>
          </rPr>
          <t>k Numero de participantes</t>
        </r>
      </text>
    </comment>
    <comment ref="H108" authorId="1">
      <text>
        <r>
          <rPr>
            <sz val="9"/>
            <color indexed="81"/>
            <rFont val="Tahoma"/>
            <family val="2"/>
          </rPr>
          <t>Numerador</t>
        </r>
      </text>
    </comment>
    <comment ref="H109" authorId="1">
      <text>
        <r>
          <rPr>
            <sz val="9"/>
            <color indexed="81"/>
            <rFont val="Tahoma"/>
            <family val="2"/>
          </rPr>
          <t>Denominador</t>
        </r>
      </text>
    </comment>
    <comment ref="C149" authorId="2">
      <text>
        <r>
          <rPr>
            <b/>
            <sz val="9"/>
            <color indexed="81"/>
            <rFont val="Tahoma"/>
            <family val="2"/>
          </rPr>
          <t xml:space="preserve">JAVIER. </t>
        </r>
        <r>
          <rPr>
            <sz val="9"/>
            <color indexed="81"/>
            <rFont val="Tahoma"/>
            <family val="2"/>
          </rPr>
          <t xml:space="preserve">Oigen de las variaciones dentro de los grupos
</t>
        </r>
      </text>
    </comment>
    <comment ref="O151" authorId="1">
      <text>
        <r>
          <rPr>
            <sz val="9"/>
            <color indexed="81"/>
            <rFont val="Tahoma"/>
            <family val="2"/>
          </rPr>
          <t>Modificar la formula de acuerdo al numero de k (participantes)
Formula LSD ni participantes numero de datos</t>
        </r>
      </text>
    </comment>
    <comment ref="D152" authorId="3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Obtenido ejercicio</t>
        </r>
      </text>
    </comment>
    <comment ref="E152" authorId="1">
      <text>
        <r>
          <rPr>
            <sz val="9"/>
            <color indexed="81"/>
            <rFont val="Tahoma"/>
            <family val="2"/>
          </rPr>
          <t>n-1 grados de libertad
con α/2 =0,025</t>
        </r>
      </text>
    </comment>
    <comment ref="D155" authorId="3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Dado por norma
</t>
        </r>
      </text>
    </comment>
    <comment ref="O159" authorId="4">
      <text>
        <r>
          <rPr>
            <sz val="9"/>
            <color indexed="81"/>
            <rFont val="Tahoma"/>
            <family val="2"/>
          </rPr>
          <t xml:space="preserve">Elvis
Ajustarlo según la norma
</t>
        </r>
      </text>
    </comment>
    <comment ref="H167" authorId="2">
      <text>
        <r>
          <rPr>
            <b/>
            <sz val="9"/>
            <color indexed="81"/>
            <rFont val="Tahoma"/>
            <family val="2"/>
          </rPr>
          <t xml:space="preserve">Se debe modificar de acuerdo al numero de repeticiones de forma manual
</t>
        </r>
      </text>
    </comment>
    <comment ref="L167" authorId="2">
      <text>
        <r>
          <rPr>
            <b/>
            <sz val="9"/>
            <color indexed="81"/>
            <rFont val="Tahoma"/>
            <family val="2"/>
          </rPr>
          <t xml:space="preserve">Realizar el cambio maula de la matriz original por los datos calculados
</t>
        </r>
      </text>
    </comment>
    <comment ref="B216" authorId="1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B217" authorId="1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C219" authorId="1">
      <text>
        <r>
          <rPr>
            <sz val="9"/>
            <color indexed="81"/>
            <rFont val="Tahoma"/>
            <family val="2"/>
          </rPr>
          <t xml:space="preserve">Buscar en la tabla Xo^2 con alfa 0,05 para k-1 grados de libertad
</t>
        </r>
      </text>
    </comment>
  </commentList>
</comments>
</file>

<file path=xl/sharedStrings.xml><?xml version="1.0" encoding="utf-8"?>
<sst xmlns="http://schemas.openxmlformats.org/spreadsheetml/2006/main" count="303" uniqueCount="199">
  <si>
    <t>CV</t>
  </si>
  <si>
    <t>t</t>
  </si>
  <si>
    <t>Nivel de confianza 95%</t>
  </si>
  <si>
    <t>Chi CD</t>
  </si>
  <si>
    <t>H0</t>
  </si>
  <si>
    <t>No existen diferencias significativas entre grupos</t>
  </si>
  <si>
    <t>H1</t>
  </si>
  <si>
    <t>Existen diferencias significativas entre grupos</t>
  </si>
  <si>
    <t>M1</t>
  </si>
  <si>
    <t>M2</t>
  </si>
  <si>
    <t>M3</t>
  </si>
  <si>
    <t>RESIDUOS (Valor Dato Media)</t>
  </si>
  <si>
    <t>Media</t>
  </si>
  <si>
    <t>Sumatoria</t>
  </si>
  <si>
    <t>DESV</t>
  </si>
  <si>
    <t>u TIPO A</t>
  </si>
  <si>
    <t>COV</t>
  </si>
  <si>
    <t>Gran Media</t>
  </si>
  <si>
    <t>Inter</t>
  </si>
  <si>
    <t xml:space="preserve"> =</t>
  </si>
  <si>
    <t xml:space="preserve"> +</t>
  </si>
  <si>
    <t>Sumatorias</t>
  </si>
  <si>
    <t>Variabilidad</t>
  </si>
  <si>
    <t xml:space="preserve">Valor </t>
  </si>
  <si>
    <t>Grado libertad</t>
  </si>
  <si>
    <t>TABLA DE ANALISIS DE VARIANZA</t>
  </si>
  <si>
    <t>Total</t>
  </si>
  <si>
    <t>VT</t>
  </si>
  <si>
    <t>n-1</t>
  </si>
  <si>
    <t>Fuentes</t>
  </si>
  <si>
    <t>Suma de Cuadrados</t>
  </si>
  <si>
    <t>Varianzas</t>
  </si>
  <si>
    <t>sR</t>
  </si>
  <si>
    <t>Medias</t>
  </si>
  <si>
    <t>VE</t>
  </si>
  <si>
    <t>K-1</t>
  </si>
  <si>
    <t>Residual</t>
  </si>
  <si>
    <t>VNE</t>
  </si>
  <si>
    <t>n-K</t>
  </si>
  <si>
    <t>Tratamientos</t>
  </si>
  <si>
    <t>Intervalos de Confianza</t>
  </si>
  <si>
    <t>Lim Sup</t>
  </si>
  <si>
    <t>s^2R</t>
  </si>
  <si>
    <t>LSD</t>
  </si>
  <si>
    <t>s R</t>
  </si>
  <si>
    <t>RAIZ(n) Residual</t>
  </si>
  <si>
    <t>t alfa/2</t>
  </si>
  <si>
    <t>n</t>
  </si>
  <si>
    <t>k</t>
  </si>
  <si>
    <t>Empates - Orden</t>
  </si>
  <si>
    <t>Datos X k</t>
  </si>
  <si>
    <t>Prueba de Kruskall - Wallis para determinar procedencia de datos - Empates y concordancia de lecturas</t>
  </si>
  <si>
    <t xml:space="preserve">No hay evidencia que demuestre que existen diferencias significativas entre los datos obtenidos por los analistas </t>
  </si>
  <si>
    <t>Por norma</t>
  </si>
  <si>
    <t>Con t solicitado por norma de ref.</t>
  </si>
  <si>
    <t>No Aplica</t>
  </si>
  <si>
    <t>Diferencia critica norma</t>
  </si>
  <si>
    <t>Diferencia critica ejercicio</t>
  </si>
  <si>
    <t>Para el ejercicio</t>
  </si>
  <si>
    <t>Student</t>
  </si>
  <si>
    <t>Diferencia de medias [Ȳ1 - Ȳ2]</t>
  </si>
  <si>
    <t>ANALISIS DE VARIANZA DE UN FACTOR - EXCEL</t>
  </si>
  <si>
    <t>Datos por analista</t>
  </si>
  <si>
    <t>Numero de niveles</t>
  </si>
  <si>
    <t>Numero de datos</t>
  </si>
  <si>
    <t>DETERMINAR SI LAS MEDIAS SON IGUALES</t>
  </si>
  <si>
    <t>M4</t>
  </si>
  <si>
    <t xml:space="preserve">Residual </t>
  </si>
  <si>
    <t>t=</t>
  </si>
  <si>
    <t>Numero de veces que se repite un valor</t>
  </si>
  <si>
    <t>k=</t>
  </si>
  <si>
    <t>Numero de grupos participantes</t>
  </si>
  <si>
    <t>gl=</t>
  </si>
  <si>
    <t>k-1</t>
  </si>
  <si>
    <t>(6-1)</t>
  </si>
  <si>
    <t>Valores por Tabla</t>
  </si>
  <si>
    <t>Valor Normal*sR</t>
  </si>
  <si>
    <t>GRAFICA DE LINEALIDAD</t>
  </si>
  <si>
    <t>media</t>
  </si>
  <si>
    <t>varianza</t>
  </si>
  <si>
    <t>s^2G</t>
  </si>
  <si>
    <t>Xo^2</t>
  </si>
  <si>
    <t>Xo^2 Tablas</t>
  </si>
  <si>
    <t>P valor</t>
  </si>
  <si>
    <t>No existen diferencias significativas entre la varianza de los analistas del  grupo</t>
  </si>
  <si>
    <t>Existen diferencias significativas entre las varianzas de los analistas del grupo</t>
  </si>
  <si>
    <t>Numero de Repeticiones</t>
  </si>
  <si>
    <t>Numero de Metrologos</t>
  </si>
  <si>
    <t>M5</t>
  </si>
  <si>
    <t>Metrologo</t>
  </si>
  <si>
    <t>nivel j</t>
  </si>
  <si>
    <t>Calculo de promedios entre celdas</t>
  </si>
  <si>
    <t>Diferencias absolutas</t>
  </si>
  <si>
    <t>Promedio de promedios</t>
  </si>
  <si>
    <t>desviacion estandar de promedios</t>
  </si>
  <si>
    <t>Negativo 1%</t>
  </si>
  <si>
    <t>Negativo 5%</t>
  </si>
  <si>
    <t>REALIZAR GRAFICO</t>
  </si>
  <si>
    <t>Consistencia estadistica dentro de los Metrologos k</t>
  </si>
  <si>
    <t>Calculo de m Sl y Sr</t>
  </si>
  <si>
    <t>Promedios</t>
  </si>
  <si>
    <t>Repeticiones</t>
  </si>
  <si>
    <t>Calculo Desviacion estandar</t>
  </si>
  <si>
    <t>T1</t>
  </si>
  <si>
    <t>T2</t>
  </si>
  <si>
    <t>T3</t>
  </si>
  <si>
    <t>T4</t>
  </si>
  <si>
    <t>T5</t>
  </si>
  <si>
    <t>s2r</t>
  </si>
  <si>
    <t>s2L</t>
  </si>
  <si>
    <t>INCERTIDUMRE DEL METODO</t>
  </si>
  <si>
    <t>σpt</t>
  </si>
  <si>
    <t>Nivel</t>
  </si>
  <si>
    <t>m</t>
  </si>
  <si>
    <t>sr</t>
  </si>
  <si>
    <t>De la Tabla  pareciera que las desviaciones estándar tienden a aumentar, al aumentar m por lo que probablemente sea permisible establecer alguna relación funcional.</t>
  </si>
  <si>
    <t>Relación 1: s= bm</t>
  </si>
  <si>
    <t>Numero de  metrologos</t>
  </si>
  <si>
    <t>sj/m</t>
  </si>
  <si>
    <t>b</t>
  </si>
  <si>
    <t>Verificación de coeficiente de correlación.</t>
  </si>
  <si>
    <t>MILLER</t>
  </si>
  <si>
    <t xml:space="preserve">Correlacion </t>
  </si>
  <si>
    <t>Coeficiente de Correlacion Miller Calculado</t>
  </si>
  <si>
    <t>tc</t>
  </si>
  <si>
    <t>r</t>
  </si>
  <si>
    <t>Valor R2 de la regresion</t>
  </si>
  <si>
    <t>R2</t>
  </si>
  <si>
    <t>Numero de Niveles de recorrido</t>
  </si>
  <si>
    <t>Coeficiente de Correlacion Miller Tablas (tabla t studentes dos colas )</t>
  </si>
  <si>
    <t>t tablas</t>
  </si>
  <si>
    <t>si tc &gt; t es satisfactorio.</t>
  </si>
  <si>
    <t>Dictamen</t>
  </si>
  <si>
    <t>Cálculo del factor k.</t>
  </si>
  <si>
    <t>r = k*sr</t>
  </si>
  <si>
    <t>Para 30 rep. k = 2,8</t>
  </si>
  <si>
    <t>r = 2,8 sr</t>
  </si>
  <si>
    <t>Para menos repeticiones:</t>
  </si>
  <si>
    <t>k =t(95,n-1)*raiz(2)</t>
  </si>
  <si>
    <t>En nuestro caso realizamos X repeticiones</t>
  </si>
  <si>
    <t xml:space="preserve">n = </t>
  </si>
  <si>
    <t>Uso de la repetibilidad.</t>
  </si>
  <si>
    <t>Prueba duplicada de repetibilidad.</t>
  </si>
  <si>
    <t>Y1</t>
  </si>
  <si>
    <t>Y2</t>
  </si>
  <si>
    <t>Dif.</t>
  </si>
  <si>
    <t>si Dif.≤r</t>
  </si>
  <si>
    <t>Limites para 4  metrologos</t>
  </si>
  <si>
    <t>Consistencia estadistica dentro del laboratorio</t>
  </si>
  <si>
    <t>Repetibilidad dentro del intrevalo de calibracion  sij</t>
  </si>
  <si>
    <r>
      <t xml:space="preserve">sr=0,07804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</si>
  <si>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 xml:space="preserve">Consistencia estadistica entre metrologos     </t>
    </r>
    <r>
      <rPr>
        <b/>
        <i/>
        <sz val="16"/>
        <color theme="1"/>
        <rFont val="Calibri"/>
        <family val="2"/>
        <scheme val="minor"/>
      </rPr>
      <t>h</t>
    </r>
  </si>
  <si>
    <t>0,0012X+0,2599</t>
  </si>
  <si>
    <t>S2R</t>
  </si>
  <si>
    <t>Limites para 4 metroogos  6 repeticiones</t>
  </si>
  <si>
    <t>F calculado</t>
  </si>
  <si>
    <t>shic critico</t>
  </si>
  <si>
    <t>shic calculado</t>
  </si>
  <si>
    <t>N°</t>
  </si>
  <si>
    <t>Valores residuos ordenados valor medio</t>
  </si>
  <si>
    <t>Lim Inf</t>
  </si>
  <si>
    <t>Chi Critico</t>
  </si>
  <si>
    <t>H´´=Chi Calculado</t>
  </si>
  <si>
    <t>Residuos</t>
  </si>
  <si>
    <t>Residuos ordenados</t>
  </si>
  <si>
    <t xml:space="preserve"> U Repetibilidad</t>
  </si>
  <si>
    <t>Metrologos</t>
  </si>
  <si>
    <t>Resultados  Según Fórmula H</t>
  </si>
  <si>
    <t>Nombre</t>
  </si>
  <si>
    <t>HERRAMIENTA ESTADISTICA</t>
  </si>
  <si>
    <t>Magnitud:</t>
  </si>
  <si>
    <t>Unidades:</t>
  </si>
  <si>
    <t>Equipo:</t>
  </si>
  <si>
    <t>Serie:</t>
  </si>
  <si>
    <t xml:space="preserve">Fecha de realización: </t>
  </si>
  <si>
    <t>Elaborado por:</t>
  </si>
  <si>
    <t>Código Interno:</t>
  </si>
  <si>
    <t xml:space="preserve"> EJERCICIO </t>
  </si>
  <si>
    <t>TAR Y TUR</t>
  </si>
  <si>
    <t>HYK</t>
  </si>
  <si>
    <t>ERROR NORMALIZADO</t>
  </si>
  <si>
    <t>INTRALABORATORIO</t>
  </si>
  <si>
    <t>ANOVA</t>
  </si>
  <si>
    <t>RPETIBILIDAD</t>
  </si>
  <si>
    <t>CLASIFICACION DE EQUIPOS</t>
  </si>
  <si>
    <t>MODAY MEDIA ARITMÉTICA</t>
  </si>
  <si>
    <t>PRUBA F</t>
  </si>
  <si>
    <t>CARTAS DE CONTROL</t>
  </si>
  <si>
    <t>OBSERVACIONES</t>
  </si>
  <si>
    <t>Matriz datos Originales</t>
  </si>
  <si>
    <t>Datos Generados</t>
  </si>
  <si>
    <t>Matriz Datos Generados</t>
  </si>
  <si>
    <t>Valor variación</t>
  </si>
  <si>
    <t>El valor de Chi CD por tablas fue obtenido con el 95% de confianza o sea con un alfa de 0,05 y este valor es de Chi CD  grados de libertad k-1 = 2 grados de libertad, como el valor obtenido es menor a este, por lo tanto se encuentra en la región de aceptación y podemos afirmar con un 95% de confianza que las desviaciones en cada proceso de ensayo son similares.</t>
  </si>
  <si>
    <t>Prueba de Homocedasticidad Numérica, Prueba de contraste</t>
  </si>
  <si>
    <t>Chi Calculado</t>
  </si>
  <si>
    <t>Grados de libertad</t>
  </si>
  <si>
    <t>P valué</t>
  </si>
  <si>
    <t>HERRAMIENTA ESTADÍSTICA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</si>
</sst>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0.0000"/>
    <numFmt numFmtId="167" formatCode="0.0%"/>
    <numFmt numFmtId="168" formatCode="0.00000000"/>
    <numFmt numFmtId="169" formatCode="0.00000"/>
    <numFmt numFmtId="170" formatCode="0.000E+00"/>
    <numFmt numFmtId="171" formatCode="0.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name val="Arial"/>
      <family val="2"/>
    </font>
    <font>
      <i/>
      <sz val="10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2"/>
      <color rgb="FF00B0F0"/>
      <name val="Arial"/>
      <family val="2"/>
    </font>
    <font>
      <b/>
      <i/>
      <sz val="12"/>
      <color rgb="FF00FF00"/>
      <name val="Arial"/>
      <family val="2"/>
    </font>
    <font>
      <b/>
      <i/>
      <sz val="12"/>
      <color theme="0"/>
      <name val="Arial"/>
      <family val="2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i/>
      <sz val="18"/>
      <color theme="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b/>
      <sz val="20"/>
      <color theme="1"/>
      <name val="Arial"/>
      <family val="2"/>
    </font>
    <font>
      <b/>
      <sz val="14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gradientFill type="path">
        <stop position="0">
          <color rgb="FF92D050"/>
        </stop>
        <stop position="1">
          <color rgb="FFFFFF00"/>
        </stop>
      </gradientFill>
    </fill>
    <fill>
      <patternFill patternType="solid">
        <fgColor rgb="FFD9D9D9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22" fillId="14" borderId="0">
      <alignment horizontal="left"/>
    </xf>
  </cellStyleXfs>
  <cellXfs count="789">
    <xf numFmtId="0" fontId="0" fillId="0" borderId="0" xfId="0"/>
    <xf numFmtId="0" fontId="3" fillId="0" borderId="18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9" xfId="0" applyFill="1" applyBorder="1" applyAlignment="1"/>
    <xf numFmtId="0" fontId="0" fillId="0" borderId="0" xfId="0" applyAlignment="1">
      <alignment wrapText="1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1" xfId="0" applyFill="1" applyBorder="1"/>
    <xf numFmtId="0" fontId="0" fillId="0" borderId="38" xfId="0" applyBorder="1" applyAlignment="1"/>
    <xf numFmtId="0" fontId="0" fillId="0" borderId="0" xfId="0" applyBorder="1" applyAlignmen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0" xfId="0" applyFill="1"/>
    <xf numFmtId="0" fontId="0" fillId="3" borderId="11" xfId="0" applyFill="1" applyBorder="1" applyAlignment="1">
      <alignment horizontal="center"/>
    </xf>
    <xf numFmtId="0" fontId="6" fillId="0" borderId="0" xfId="0" applyFont="1" applyFill="1" applyBorder="1"/>
    <xf numFmtId="0" fontId="6" fillId="0" borderId="36" xfId="0" applyFont="1" applyFill="1" applyBorder="1"/>
    <xf numFmtId="166" fontId="0" fillId="0" borderId="38" xfId="0" applyNumberFormat="1" applyBorder="1" applyAlignment="1"/>
    <xf numFmtId="166" fontId="0" fillId="0" borderId="0" xfId="0" applyNumberFormat="1" applyBorder="1" applyAlignment="1"/>
    <xf numFmtId="0" fontId="9" fillId="4" borderId="11" xfId="0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/>
    <xf numFmtId="0" fontId="9" fillId="0" borderId="0" xfId="0" applyFont="1" applyFill="1"/>
    <xf numFmtId="0" fontId="9" fillId="0" borderId="0" xfId="0" applyFont="1"/>
    <xf numFmtId="166" fontId="0" fillId="0" borderId="11" xfId="0" applyNumberFormat="1" applyBorder="1" applyAlignment="1">
      <alignment horizontal="center"/>
    </xf>
    <xf numFmtId="0" fontId="0" fillId="5" borderId="38" xfId="0" applyFill="1" applyBorder="1" applyAlignment="1"/>
    <xf numFmtId="0" fontId="0" fillId="5" borderId="0" xfId="0" applyFill="1" applyBorder="1" applyAlignment="1"/>
    <xf numFmtId="0" fontId="0" fillId="5" borderId="0" xfId="0" applyFill="1" applyBorder="1" applyAlignment="1">
      <alignment horizontal="center"/>
    </xf>
    <xf numFmtId="2" fontId="0" fillId="0" borderId="11" xfId="0" applyNumberFormat="1" applyBorder="1"/>
    <xf numFmtId="2" fontId="0" fillId="0" borderId="14" xfId="0" applyNumberFormat="1" applyBorder="1"/>
    <xf numFmtId="2" fontId="0" fillId="5" borderId="38" xfId="0" applyNumberFormat="1" applyFill="1" applyBorder="1"/>
    <xf numFmtId="2" fontId="0" fillId="5" borderId="0" xfId="0" applyNumberFormat="1" applyFill="1" applyBorder="1"/>
    <xf numFmtId="0" fontId="0" fillId="5" borderId="0" xfId="0" applyFill="1" applyBorder="1"/>
    <xf numFmtId="0" fontId="0" fillId="0" borderId="0" xfId="0" applyAlignment="1">
      <alignment horizontal="center"/>
    </xf>
    <xf numFmtId="166" fontId="0" fillId="0" borderId="11" xfId="0" applyNumberFormat="1" applyBorder="1"/>
    <xf numFmtId="2" fontId="0" fillId="0" borderId="0" xfId="0" applyNumberFormat="1" applyBorder="1"/>
    <xf numFmtId="0" fontId="0" fillId="5" borderId="38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0" borderId="0" xfId="0" applyAlignment="1"/>
    <xf numFmtId="0" fontId="9" fillId="4" borderId="11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5" borderId="38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0" fillId="5" borderId="41" xfId="0" applyFill="1" applyBorder="1"/>
    <xf numFmtId="9" fontId="2" fillId="0" borderId="11" xfId="0" applyNumberFormat="1" applyFont="1" applyBorder="1" applyAlignment="1">
      <alignment horizontal="center" vertical="center"/>
    </xf>
    <xf numFmtId="9" fontId="0" fillId="0" borderId="11" xfId="0" applyNumberFormat="1" applyBorder="1"/>
    <xf numFmtId="2" fontId="0" fillId="0" borderId="1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1" fillId="0" borderId="0" xfId="0" applyFont="1"/>
    <xf numFmtId="0" fontId="0" fillId="0" borderId="0" xfId="0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6" fontId="0" fillId="0" borderId="14" xfId="0" applyNumberFormat="1" applyBorder="1" applyAlignment="1">
      <alignment horizontal="center" vertical="center"/>
    </xf>
    <xf numFmtId="2" fontId="0" fillId="5" borderId="38" xfId="0" applyNumberFormat="1" applyFill="1" applyBorder="1" applyAlignment="1">
      <alignment horizontal="center" vertical="center"/>
    </xf>
    <xf numFmtId="2" fontId="0" fillId="5" borderId="0" xfId="0" applyNumberFormat="1" applyFill="1" applyBorder="1" applyAlignment="1">
      <alignment horizontal="center" vertical="center"/>
    </xf>
    <xf numFmtId="2" fontId="0" fillId="3" borderId="11" xfId="0" applyNumberFormat="1" applyFill="1" applyBorder="1"/>
    <xf numFmtId="2" fontId="0" fillId="3" borderId="0" xfId="0" applyNumberFormat="1" applyFill="1" applyBorder="1"/>
    <xf numFmtId="0" fontId="0" fillId="0" borderId="14" xfId="0" applyBorder="1" applyAlignment="1"/>
    <xf numFmtId="0" fontId="0" fillId="0" borderId="15" xfId="0" applyBorder="1" applyAlignment="1"/>
    <xf numFmtId="0" fontId="0" fillId="0" borderId="41" xfId="0" applyBorder="1" applyAlignment="1"/>
    <xf numFmtId="0" fontId="9" fillId="0" borderId="38" xfId="0" applyFont="1" applyBorder="1" applyAlignment="1"/>
    <xf numFmtId="0" fontId="9" fillId="0" borderId="0" xfId="0" applyFont="1" applyBorder="1" applyAlignment="1"/>
    <xf numFmtId="0" fontId="9" fillId="0" borderId="3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41" xfId="0" applyBorder="1"/>
    <xf numFmtId="9" fontId="0" fillId="3" borderId="11" xfId="0" applyNumberFormat="1" applyFill="1" applyBorder="1"/>
    <xf numFmtId="9" fontId="0" fillId="0" borderId="0" xfId="0" applyNumberFormat="1"/>
    <xf numFmtId="2" fontId="0" fillId="0" borderId="0" xfId="0" applyNumberFormat="1" applyFill="1" applyBorder="1"/>
    <xf numFmtId="0" fontId="8" fillId="0" borderId="11" xfId="0" applyFont="1" applyBorder="1"/>
    <xf numFmtId="2" fontId="0" fillId="0" borderId="0" xfId="0" applyNumberFormat="1"/>
    <xf numFmtId="0" fontId="0" fillId="4" borderId="14" xfId="0" applyFill="1" applyBorder="1" applyAlignment="1"/>
    <xf numFmtId="0" fontId="0" fillId="4" borderId="15" xfId="0" applyFill="1" applyBorder="1" applyAlignment="1"/>
    <xf numFmtId="0" fontId="0" fillId="4" borderId="16" xfId="0" applyFill="1" applyBorder="1" applyAlignment="1"/>
    <xf numFmtId="0" fontId="0" fillId="4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/>
    </xf>
    <xf numFmtId="165" fontId="0" fillId="0" borderId="0" xfId="0" applyNumberFormat="1"/>
    <xf numFmtId="165" fontId="0" fillId="5" borderId="38" xfId="0" applyNumberFormat="1" applyFill="1" applyBorder="1" applyAlignment="1">
      <alignment horizontal="center" vertical="center"/>
    </xf>
    <xf numFmtId="165" fontId="0" fillId="5" borderId="0" xfId="0" applyNumberForma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6" borderId="11" xfId="0" applyFill="1" applyBorder="1"/>
    <xf numFmtId="166" fontId="0" fillId="6" borderId="11" xfId="0" applyNumberFormat="1" applyFill="1" applyBorder="1"/>
    <xf numFmtId="165" fontId="0" fillId="5" borderId="0" xfId="0" applyNumberFormat="1" applyFill="1" applyBorder="1"/>
    <xf numFmtId="170" fontId="0" fillId="0" borderId="11" xfId="0" applyNumberFormat="1" applyBorder="1" applyAlignment="1">
      <alignment horizontal="center" vertical="center"/>
    </xf>
    <xf numFmtId="164" fontId="0" fillId="6" borderId="11" xfId="0" applyNumberFormat="1" applyFill="1" applyBorder="1" applyAlignment="1">
      <alignment horizontal="center"/>
    </xf>
    <xf numFmtId="164" fontId="0" fillId="5" borderId="38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0" fontId="0" fillId="5" borderId="38" xfId="0" applyFill="1" applyBorder="1"/>
    <xf numFmtId="0" fontId="0" fillId="6" borderId="14" xfId="0" applyFill="1" applyBorder="1"/>
    <xf numFmtId="0" fontId="0" fillId="5" borderId="0" xfId="0" applyFill="1"/>
    <xf numFmtId="0" fontId="0" fillId="0" borderId="38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65" fontId="0" fillId="0" borderId="38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70" fontId="0" fillId="6" borderId="11" xfId="0" applyNumberFormat="1" applyFill="1" applyBorder="1"/>
    <xf numFmtId="166" fontId="0" fillId="0" borderId="0" xfId="0" applyNumberFormat="1" applyFill="1" applyBorder="1"/>
    <xf numFmtId="0" fontId="13" fillId="0" borderId="0" xfId="0" applyFont="1"/>
    <xf numFmtId="0" fontId="13" fillId="0" borderId="11" xfId="0" applyFont="1" applyBorder="1"/>
    <xf numFmtId="11" fontId="0" fillId="0" borderId="0" xfId="0" applyNumberFormat="1"/>
    <xf numFmtId="0" fontId="0" fillId="6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165" fontId="0" fillId="8" borderId="0" xfId="0" applyNumberFormat="1" applyFill="1"/>
    <xf numFmtId="169" fontId="0" fillId="0" borderId="11" xfId="0" applyNumberFormat="1" applyBorder="1"/>
    <xf numFmtId="165" fontId="0" fillId="0" borderId="0" xfId="0" applyNumberFormat="1" applyBorder="1"/>
    <xf numFmtId="171" fontId="0" fillId="0" borderId="11" xfId="0" applyNumberFormat="1" applyBorder="1"/>
    <xf numFmtId="166" fontId="0" fillId="0" borderId="0" xfId="0" applyNumberFormat="1" applyBorder="1"/>
    <xf numFmtId="165" fontId="0" fillId="0" borderId="38" xfId="0" applyNumberFormat="1" applyFill="1" applyBorder="1" applyAlignment="1"/>
    <xf numFmtId="165" fontId="0" fillId="0" borderId="0" xfId="0" applyNumberFormat="1" applyFill="1" applyBorder="1" applyAlignment="1"/>
    <xf numFmtId="165" fontId="0" fillId="0" borderId="0" xfId="0" applyNumberFormat="1" applyFill="1" applyBorder="1" applyAlignment="1">
      <alignment horizontal="center"/>
    </xf>
    <xf numFmtId="0" fontId="0" fillId="8" borderId="17" xfId="0" applyFill="1" applyBorder="1"/>
    <xf numFmtId="0" fontId="7" fillId="9" borderId="0" xfId="2" applyFont="1" applyFill="1"/>
    <xf numFmtId="0" fontId="14" fillId="9" borderId="0" xfId="2" applyFont="1" applyFill="1" applyBorder="1" applyAlignment="1">
      <alignment horizontal="left"/>
    </xf>
    <xf numFmtId="0" fontId="15" fillId="9" borderId="0" xfId="2" applyFont="1" applyFill="1" applyBorder="1" applyAlignment="1">
      <alignment horizontal="center"/>
    </xf>
    <xf numFmtId="0" fontId="16" fillId="9" borderId="0" xfId="2" applyFont="1" applyFill="1" applyBorder="1" applyAlignment="1">
      <alignment horizontal="center"/>
    </xf>
    <xf numFmtId="0" fontId="17" fillId="9" borderId="0" xfId="2" applyFont="1" applyFill="1" applyBorder="1" applyAlignment="1">
      <alignment horizontal="right"/>
    </xf>
    <xf numFmtId="0" fontId="14" fillId="9" borderId="0" xfId="2" applyFont="1" applyFill="1" applyBorder="1"/>
    <xf numFmtId="0" fontId="7" fillId="9" borderId="0" xfId="2" applyFont="1" applyFill="1" applyBorder="1" applyAlignment="1"/>
    <xf numFmtId="0" fontId="18" fillId="9" borderId="0" xfId="2" applyFont="1" applyFill="1" applyBorder="1" applyAlignment="1"/>
    <xf numFmtId="0" fontId="14" fillId="9" borderId="0" xfId="2" applyFont="1" applyFill="1" applyBorder="1" applyAlignment="1">
      <alignment horizontal="right"/>
    </xf>
    <xf numFmtId="0" fontId="18" fillId="9" borderId="0" xfId="2" applyFont="1" applyFill="1" applyBorder="1"/>
    <xf numFmtId="0" fontId="7" fillId="9" borderId="0" xfId="2" applyFont="1" applyFill="1" applyBorder="1"/>
    <xf numFmtId="0" fontId="7" fillId="9" borderId="46" xfId="2" applyFont="1" applyFill="1" applyBorder="1"/>
    <xf numFmtId="0" fontId="7" fillId="9" borderId="38" xfId="2" applyFont="1" applyFill="1" applyBorder="1"/>
    <xf numFmtId="0" fontId="7" fillId="9" borderId="11" xfId="2" applyFont="1" applyFill="1" applyBorder="1"/>
    <xf numFmtId="1" fontId="7" fillId="9" borderId="11" xfId="2" applyNumberFormat="1" applyFont="1" applyFill="1" applyBorder="1"/>
    <xf numFmtId="0" fontId="7" fillId="9" borderId="53" xfId="2" applyFont="1" applyFill="1" applyBorder="1"/>
    <xf numFmtId="0" fontId="19" fillId="9" borderId="53" xfId="2" applyFont="1" applyFill="1" applyBorder="1"/>
    <xf numFmtId="0" fontId="14" fillId="9" borderId="0" xfId="2" applyFont="1" applyFill="1"/>
    <xf numFmtId="1" fontId="14" fillId="2" borderId="0" xfId="2" applyNumberFormat="1" applyFont="1" applyFill="1"/>
    <xf numFmtId="2" fontId="14" fillId="9" borderId="0" xfId="2" applyNumberFormat="1" applyFont="1" applyFill="1" applyBorder="1"/>
    <xf numFmtId="0" fontId="7" fillId="0" borderId="11" xfId="2" applyFont="1" applyFill="1" applyBorder="1"/>
    <xf numFmtId="2" fontId="14" fillId="9" borderId="0" xfId="2" applyNumberFormat="1" applyFont="1" applyFill="1"/>
    <xf numFmtId="2" fontId="7" fillId="9" borderId="0" xfId="2" applyNumberFormat="1" applyFont="1" applyFill="1"/>
    <xf numFmtId="0" fontId="0" fillId="3" borderId="0" xfId="0" applyFill="1" applyBorder="1" applyAlignment="1">
      <alignment horizontal="center"/>
    </xf>
    <xf numFmtId="166" fontId="0" fillId="0" borderId="0" xfId="0" applyNumberFormat="1" applyFill="1" applyBorder="1" applyAlignment="1"/>
    <xf numFmtId="0" fontId="0" fillId="4" borderId="37" xfId="0" applyFill="1" applyBorder="1" applyAlignment="1"/>
    <xf numFmtId="0" fontId="0" fillId="4" borderId="36" xfId="0" applyFill="1" applyBorder="1" applyAlignment="1"/>
    <xf numFmtId="0" fontId="0" fillId="4" borderId="11" xfId="0" applyFill="1" applyBorder="1" applyAlignment="1"/>
    <xf numFmtId="2" fontId="0" fillId="0" borderId="11" xfId="0" applyNumberFormat="1" applyFill="1" applyBorder="1"/>
    <xf numFmtId="0" fontId="0" fillId="0" borderId="11" xfId="0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0" fillId="2" borderId="11" xfId="0" applyFill="1" applyBorder="1"/>
    <xf numFmtId="0" fontId="0" fillId="3" borderId="12" xfId="0" applyFill="1" applyBorder="1" applyAlignment="1">
      <alignment horizontal="center"/>
    </xf>
    <xf numFmtId="0" fontId="22" fillId="0" borderId="0" xfId="0" applyFont="1"/>
    <xf numFmtId="166" fontId="22" fillId="0" borderId="0" xfId="0" applyNumberFormat="1" applyFont="1" applyBorder="1"/>
    <xf numFmtId="0" fontId="22" fillId="0" borderId="0" xfId="0" applyFont="1" applyBorder="1"/>
    <xf numFmtId="0" fontId="23" fillId="0" borderId="0" xfId="0" applyFont="1"/>
    <xf numFmtId="0" fontId="24" fillId="0" borderId="0" xfId="0" applyFont="1" applyFill="1" applyBorder="1" applyAlignment="1">
      <alignment horizontal="center" vertical="center"/>
    </xf>
    <xf numFmtId="164" fontId="22" fillId="0" borderId="11" xfId="0" applyNumberFormat="1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2" fontId="22" fillId="0" borderId="0" xfId="0" applyNumberFormat="1" applyFont="1"/>
    <xf numFmtId="164" fontId="22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Border="1"/>
    <xf numFmtId="2" fontId="22" fillId="0" borderId="0" xfId="0" applyNumberFormat="1" applyFont="1" applyFill="1" applyBorder="1"/>
    <xf numFmtId="0" fontId="22" fillId="0" borderId="0" xfId="0" applyFont="1" applyFill="1" applyBorder="1"/>
    <xf numFmtId="167" fontId="22" fillId="0" borderId="10" xfId="1" applyNumberFormat="1" applyFont="1" applyBorder="1" applyAlignment="1">
      <alignment horizontal="center" vertical="center"/>
    </xf>
    <xf numFmtId="167" fontId="22" fillId="0" borderId="9" xfId="1" applyNumberFormat="1" applyFont="1" applyBorder="1" applyAlignment="1">
      <alignment horizontal="center" vertical="center"/>
    </xf>
    <xf numFmtId="167" fontId="22" fillId="0" borderId="0" xfId="1" applyNumberFormat="1" applyFont="1" applyFill="1" applyBorder="1" applyAlignment="1">
      <alignment horizontal="center" vertical="center"/>
    </xf>
    <xf numFmtId="164" fontId="23" fillId="0" borderId="2" xfId="0" applyNumberFormat="1" applyFont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/>
    </xf>
    <xf numFmtId="2" fontId="23" fillId="0" borderId="4" xfId="0" applyNumberFormat="1" applyFont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Border="1"/>
    <xf numFmtId="2" fontId="22" fillId="0" borderId="0" xfId="0" applyNumberFormat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2" fontId="22" fillId="0" borderId="11" xfId="0" applyNumberFormat="1" applyFont="1" applyBorder="1" applyAlignment="1">
      <alignment horizontal="center" vertical="center"/>
    </xf>
    <xf numFmtId="0" fontId="22" fillId="0" borderId="2" xfId="0" applyFont="1" applyBorder="1"/>
    <xf numFmtId="0" fontId="22" fillId="0" borderId="4" xfId="0" applyFont="1" applyBorder="1"/>
    <xf numFmtId="168" fontId="22" fillId="0" borderId="0" xfId="0" applyNumberFormat="1" applyFont="1"/>
    <xf numFmtId="0" fontId="22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5" fontId="22" fillId="0" borderId="0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/>
    <xf numFmtId="2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165" fontId="22" fillId="0" borderId="0" xfId="0" applyNumberFormat="1" applyFont="1" applyBorder="1" applyAlignment="1">
      <alignment horizontal="center"/>
    </xf>
    <xf numFmtId="0" fontId="23" fillId="0" borderId="0" xfId="0" applyFont="1" applyBorder="1"/>
    <xf numFmtId="0" fontId="22" fillId="0" borderId="3" xfId="0" applyFont="1" applyBorder="1"/>
    <xf numFmtId="164" fontId="22" fillId="0" borderId="0" xfId="0" applyNumberFormat="1" applyFont="1" applyBorder="1" applyAlignment="1">
      <alignment horizontal="center" vertical="center"/>
    </xf>
    <xf numFmtId="0" fontId="22" fillId="0" borderId="19" xfId="0" applyFont="1" applyBorder="1"/>
    <xf numFmtId="1" fontId="23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26" fillId="10" borderId="25" xfId="0" applyFont="1" applyFill="1" applyBorder="1" applyAlignment="1">
      <alignment horizontal="center" vertical="center"/>
    </xf>
    <xf numFmtId="0" fontId="26" fillId="10" borderId="26" xfId="0" applyFont="1" applyFill="1" applyBorder="1" applyAlignment="1">
      <alignment horizontal="center" vertical="center"/>
    </xf>
    <xf numFmtId="0" fontId="26" fillId="10" borderId="24" xfId="0" applyFont="1" applyFill="1" applyBorder="1" applyAlignment="1">
      <alignment horizontal="center" vertical="center"/>
    </xf>
    <xf numFmtId="2" fontId="22" fillId="0" borderId="59" xfId="0" applyNumberFormat="1" applyFont="1" applyBorder="1" applyAlignment="1">
      <alignment horizontal="center" vertical="center"/>
    </xf>
    <xf numFmtId="2" fontId="22" fillId="0" borderId="29" xfId="0" applyNumberFormat="1" applyFont="1" applyBorder="1" applyAlignment="1">
      <alignment horizontal="center" vertical="center"/>
    </xf>
    <xf numFmtId="2" fontId="22" fillId="0" borderId="28" xfId="0" applyNumberFormat="1" applyFont="1" applyBorder="1" applyAlignment="1">
      <alignment horizontal="center" vertical="center"/>
    </xf>
    <xf numFmtId="0" fontId="22" fillId="0" borderId="28" xfId="0" applyFont="1" applyBorder="1" applyAlignment="1">
      <alignment horizontal="center"/>
    </xf>
    <xf numFmtId="2" fontId="22" fillId="0" borderId="29" xfId="0" applyNumberFormat="1" applyFont="1" applyBorder="1" applyAlignment="1">
      <alignment horizontal="center"/>
    </xf>
    <xf numFmtId="2" fontId="22" fillId="0" borderId="16" xfId="0" applyNumberFormat="1" applyFont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9" fillId="10" borderId="0" xfId="0" applyFont="1" applyFill="1"/>
    <xf numFmtId="0" fontId="23" fillId="0" borderId="21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2" fontId="23" fillId="11" borderId="7" xfId="0" applyNumberFormat="1" applyFont="1" applyFill="1" applyBorder="1" applyAlignment="1">
      <alignment horizontal="center" vertical="center"/>
    </xf>
    <xf numFmtId="0" fontId="22" fillId="0" borderId="10" xfId="0" applyFont="1" applyBorder="1"/>
    <xf numFmtId="0" fontId="28" fillId="0" borderId="0" xfId="0" applyFont="1" applyFill="1" applyBorder="1" applyAlignment="1">
      <alignment horizontal="center" vertical="center"/>
    </xf>
    <xf numFmtId="2" fontId="22" fillId="0" borderId="1" xfId="0" applyNumberFormat="1" applyFont="1" applyBorder="1"/>
    <xf numFmtId="2" fontId="22" fillId="0" borderId="20" xfId="0" applyNumberFormat="1" applyFont="1" applyBorder="1"/>
    <xf numFmtId="165" fontId="22" fillId="0" borderId="0" xfId="0" applyNumberFormat="1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4" xfId="0" applyFont="1" applyBorder="1" applyAlignment="1">
      <alignment horizontal="center"/>
    </xf>
    <xf numFmtId="2" fontId="22" fillId="0" borderId="32" xfId="0" applyNumberFormat="1" applyFont="1" applyBorder="1" applyAlignment="1">
      <alignment horizontal="center" vertical="center"/>
    </xf>
    <xf numFmtId="2" fontId="22" fillId="0" borderId="31" xfId="0" applyNumberFormat="1" applyFont="1" applyBorder="1" applyAlignment="1">
      <alignment horizontal="center" vertical="center"/>
    </xf>
    <xf numFmtId="2" fontId="22" fillId="0" borderId="30" xfId="0" applyNumberFormat="1" applyFont="1" applyBorder="1" applyAlignment="1">
      <alignment horizontal="center" vertical="center"/>
    </xf>
    <xf numFmtId="2" fontId="23" fillId="11" borderId="6" xfId="0" applyNumberFormat="1" applyFont="1" applyFill="1" applyBorder="1" applyAlignment="1">
      <alignment horizontal="center" vertical="center"/>
    </xf>
    <xf numFmtId="2" fontId="22" fillId="0" borderId="56" xfId="0" applyNumberFormat="1" applyFont="1" applyBorder="1" applyAlignment="1">
      <alignment horizontal="center" vertical="center"/>
    </xf>
    <xf numFmtId="2" fontId="22" fillId="0" borderId="54" xfId="0" applyNumberFormat="1" applyFont="1" applyBorder="1" applyAlignment="1">
      <alignment horizontal="center" vertical="center"/>
    </xf>
    <xf numFmtId="0" fontId="22" fillId="0" borderId="56" xfId="0" applyFont="1" applyBorder="1"/>
    <xf numFmtId="0" fontId="22" fillId="0" borderId="54" xfId="0" applyFont="1" applyBorder="1"/>
    <xf numFmtId="0" fontId="22" fillId="0" borderId="1" xfId="0" applyFont="1" applyBorder="1"/>
    <xf numFmtId="0" fontId="22" fillId="0" borderId="6" xfId="0" applyFont="1" applyBorder="1" applyAlignment="1">
      <alignment horizontal="center"/>
    </xf>
    <xf numFmtId="2" fontId="22" fillId="0" borderId="27" xfId="0" applyNumberFormat="1" applyFont="1" applyBorder="1" applyAlignment="1">
      <alignment horizontal="center" vertical="center"/>
    </xf>
    <xf numFmtId="2" fontId="22" fillId="0" borderId="34" xfId="0" applyNumberFormat="1" applyFont="1" applyBorder="1" applyAlignment="1">
      <alignment horizontal="center" vertical="center"/>
    </xf>
    <xf numFmtId="2" fontId="22" fillId="0" borderId="33" xfId="0" applyNumberFormat="1" applyFont="1" applyBorder="1" applyAlignment="1">
      <alignment horizontal="center" vertical="center"/>
    </xf>
    <xf numFmtId="169" fontId="22" fillId="0" borderId="0" xfId="0" applyNumberFormat="1" applyFont="1"/>
    <xf numFmtId="165" fontId="22" fillId="0" borderId="0" xfId="0" applyNumberFormat="1" applyFont="1" applyBorder="1" applyAlignment="1"/>
    <xf numFmtId="2" fontId="22" fillId="0" borderId="11" xfId="0" applyNumberFormat="1" applyFont="1" applyFill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/>
    </xf>
    <xf numFmtId="2" fontId="23" fillId="0" borderId="0" xfId="0" applyNumberFormat="1" applyFont="1" applyFill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165" fontId="26" fillId="12" borderId="7" xfId="0" applyNumberFormat="1" applyFont="1" applyFill="1" applyBorder="1" applyAlignment="1">
      <alignment horizontal="center" vertical="center"/>
    </xf>
    <xf numFmtId="0" fontId="22" fillId="0" borderId="8" xfId="0" applyFont="1" applyBorder="1"/>
    <xf numFmtId="0" fontId="22" fillId="0" borderId="9" xfId="0" applyFont="1" applyBorder="1"/>
    <xf numFmtId="0" fontId="30" fillId="0" borderId="2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/>
    </xf>
    <xf numFmtId="165" fontId="22" fillId="0" borderId="13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165" fontId="22" fillId="0" borderId="28" xfId="0" applyNumberFormat="1" applyFont="1" applyFill="1" applyBorder="1" applyAlignment="1">
      <alignment horizontal="center" vertical="center"/>
    </xf>
    <xf numFmtId="165" fontId="22" fillId="0" borderId="27" xfId="0" applyNumberFormat="1" applyFont="1" applyFill="1" applyBorder="1" applyAlignment="1">
      <alignment horizontal="center" vertical="center"/>
    </xf>
    <xf numFmtId="164" fontId="22" fillId="0" borderId="32" xfId="0" applyNumberFormat="1" applyFont="1" applyBorder="1" applyAlignment="1">
      <alignment horizontal="center" vertical="center"/>
    </xf>
    <xf numFmtId="164" fontId="22" fillId="0" borderId="28" xfId="0" applyNumberFormat="1" applyFont="1" applyBorder="1" applyAlignment="1">
      <alignment horizontal="center" vertical="center"/>
    </xf>
    <xf numFmtId="164" fontId="22" fillId="0" borderId="33" xfId="0" applyNumberFormat="1" applyFont="1" applyBorder="1" applyAlignment="1">
      <alignment horizontal="center" vertical="center"/>
    </xf>
    <xf numFmtId="164" fontId="22" fillId="0" borderId="31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/>
    </xf>
    <xf numFmtId="164" fontId="22" fillId="0" borderId="30" xfId="0" applyNumberFormat="1" applyFont="1" applyBorder="1" applyAlignment="1">
      <alignment horizontal="center" vertical="center"/>
    </xf>
    <xf numFmtId="164" fontId="22" fillId="0" borderId="29" xfId="0" applyNumberFormat="1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30" fillId="10" borderId="21" xfId="0" applyFont="1" applyFill="1" applyBorder="1" applyAlignment="1">
      <alignment horizontal="center" vertical="center"/>
    </xf>
    <xf numFmtId="164" fontId="23" fillId="10" borderId="56" xfId="0" applyNumberFormat="1" applyFont="1" applyFill="1" applyBorder="1" applyAlignment="1">
      <alignment horizontal="center" vertical="center"/>
    </xf>
    <xf numFmtId="0" fontId="23" fillId="12" borderId="7" xfId="0" applyFont="1" applyFill="1" applyBorder="1"/>
    <xf numFmtId="0" fontId="23" fillId="12" borderId="56" xfId="0" applyFont="1" applyFill="1" applyBorder="1" applyAlignment="1">
      <alignment horizontal="center" vertical="center"/>
    </xf>
    <xf numFmtId="0" fontId="23" fillId="12" borderId="54" xfId="0" applyFont="1" applyFill="1" applyBorder="1" applyAlignment="1">
      <alignment horizontal="center" vertical="center"/>
    </xf>
    <xf numFmtId="0" fontId="23" fillId="12" borderId="55" xfId="0" applyFont="1" applyFill="1" applyBorder="1" applyAlignment="1">
      <alignment horizontal="center" vertical="center"/>
    </xf>
    <xf numFmtId="0" fontId="23" fillId="12" borderId="64" xfId="0" applyFont="1" applyFill="1" applyBorder="1" applyAlignment="1">
      <alignment horizontal="center"/>
    </xf>
    <xf numFmtId="0" fontId="23" fillId="12" borderId="65" xfId="0" applyFont="1" applyFill="1" applyBorder="1" applyAlignment="1">
      <alignment horizontal="center"/>
    </xf>
    <xf numFmtId="0" fontId="23" fillId="12" borderId="66" xfId="0" applyFont="1" applyFill="1" applyBorder="1" applyAlignment="1">
      <alignment horizontal="center"/>
    </xf>
    <xf numFmtId="0" fontId="23" fillId="12" borderId="25" xfId="0" applyFont="1" applyFill="1" applyBorder="1" applyAlignment="1">
      <alignment horizontal="center" vertical="center"/>
    </xf>
    <xf numFmtId="0" fontId="23" fillId="12" borderId="26" xfId="0" applyFont="1" applyFill="1" applyBorder="1" applyAlignment="1">
      <alignment horizontal="center" vertical="center"/>
    </xf>
    <xf numFmtId="0" fontId="23" fillId="12" borderId="24" xfId="0" applyFont="1" applyFill="1" applyBorder="1" applyAlignment="1">
      <alignment horizontal="center" vertical="center"/>
    </xf>
    <xf numFmtId="0" fontId="23" fillId="12" borderId="68" xfId="0" applyFont="1" applyFill="1" applyBorder="1" applyAlignment="1">
      <alignment horizontal="center" vertical="center"/>
    </xf>
    <xf numFmtId="0" fontId="23" fillId="12" borderId="69" xfId="0" applyFont="1" applyFill="1" applyBorder="1" applyAlignment="1">
      <alignment horizontal="center" vertical="center"/>
    </xf>
    <xf numFmtId="0" fontId="23" fillId="12" borderId="70" xfId="0" applyFont="1" applyFill="1" applyBorder="1" applyAlignment="1">
      <alignment horizontal="center" vertical="center"/>
    </xf>
    <xf numFmtId="0" fontId="23" fillId="12" borderId="71" xfId="0" applyFont="1" applyFill="1" applyBorder="1" applyAlignment="1">
      <alignment horizontal="center" vertical="center"/>
    </xf>
    <xf numFmtId="0" fontId="23" fillId="12" borderId="64" xfId="0" applyFont="1" applyFill="1" applyBorder="1" applyAlignment="1">
      <alignment horizontal="center" vertical="center"/>
    </xf>
    <xf numFmtId="0" fontId="23" fillId="12" borderId="65" xfId="0" applyFont="1" applyFill="1" applyBorder="1" applyAlignment="1">
      <alignment horizontal="center" vertical="center"/>
    </xf>
    <xf numFmtId="0" fontId="23" fillId="12" borderId="66" xfId="0" applyFont="1" applyFill="1" applyBorder="1" applyAlignment="1">
      <alignment horizontal="center" vertical="center"/>
    </xf>
    <xf numFmtId="164" fontId="22" fillId="13" borderId="59" xfId="0" applyNumberFormat="1" applyFont="1" applyFill="1" applyBorder="1" applyAlignment="1">
      <alignment horizontal="center" vertical="center"/>
    </xf>
    <xf numFmtId="164" fontId="22" fillId="13" borderId="11" xfId="0" applyNumberFormat="1" applyFont="1" applyFill="1" applyBorder="1" applyAlignment="1">
      <alignment horizontal="center" vertical="center"/>
    </xf>
    <xf numFmtId="164" fontId="22" fillId="13" borderId="30" xfId="0" applyNumberFormat="1" applyFont="1" applyFill="1" applyBorder="1" applyAlignment="1">
      <alignment horizontal="center" vertical="center"/>
    </xf>
    <xf numFmtId="164" fontId="22" fillId="13" borderId="29" xfId="0" applyNumberFormat="1" applyFont="1" applyFill="1" applyBorder="1" applyAlignment="1">
      <alignment horizontal="center" vertical="center"/>
    </xf>
    <xf numFmtId="164" fontId="22" fillId="13" borderId="28" xfId="0" applyNumberFormat="1" applyFont="1" applyFill="1" applyBorder="1" applyAlignment="1">
      <alignment horizontal="center" vertical="center"/>
    </xf>
    <xf numFmtId="164" fontId="22" fillId="13" borderId="27" xfId="0" applyNumberFormat="1" applyFont="1" applyFill="1" applyBorder="1" applyAlignment="1">
      <alignment horizontal="center" vertical="center"/>
    </xf>
    <xf numFmtId="2" fontId="22" fillId="3" borderId="33" xfId="0" applyNumberFormat="1" applyFont="1" applyFill="1" applyBorder="1" applyAlignment="1">
      <alignment horizontal="center" vertical="center"/>
    </xf>
    <xf numFmtId="2" fontId="22" fillId="3" borderId="32" xfId="0" applyNumberFormat="1" applyFont="1" applyFill="1" applyBorder="1" applyAlignment="1">
      <alignment horizontal="center" vertical="center"/>
    </xf>
    <xf numFmtId="2" fontId="22" fillId="3" borderId="31" xfId="0" applyNumberFormat="1" applyFont="1" applyFill="1" applyBorder="1" applyAlignment="1">
      <alignment horizontal="center" vertical="center"/>
    </xf>
    <xf numFmtId="2" fontId="22" fillId="3" borderId="59" xfId="0" applyNumberFormat="1" applyFont="1" applyFill="1" applyBorder="1" applyAlignment="1">
      <alignment horizontal="center" vertical="center"/>
    </xf>
    <xf numFmtId="2" fontId="22" fillId="3" borderId="11" xfId="0" applyNumberFormat="1" applyFont="1" applyFill="1" applyBorder="1" applyAlignment="1">
      <alignment horizontal="center" vertical="center"/>
    </xf>
    <xf numFmtId="2" fontId="22" fillId="3" borderId="30" xfId="0" applyNumberFormat="1" applyFont="1" applyFill="1" applyBorder="1" applyAlignment="1">
      <alignment horizontal="center" vertical="center"/>
    </xf>
    <xf numFmtId="2" fontId="22" fillId="3" borderId="60" xfId="0" applyNumberFormat="1" applyFont="1" applyFill="1" applyBorder="1" applyAlignment="1">
      <alignment horizontal="center" vertical="center"/>
    </xf>
    <xf numFmtId="2" fontId="22" fillId="3" borderId="12" xfId="0" applyNumberFormat="1" applyFont="1" applyFill="1" applyBorder="1" applyAlignment="1">
      <alignment horizontal="center" vertical="center"/>
    </xf>
    <xf numFmtId="2" fontId="22" fillId="3" borderId="61" xfId="0" applyNumberFormat="1" applyFont="1" applyFill="1" applyBorder="1" applyAlignment="1">
      <alignment horizontal="center" vertical="center"/>
    </xf>
    <xf numFmtId="2" fontId="22" fillId="3" borderId="29" xfId="0" applyNumberFormat="1" applyFont="1" applyFill="1" applyBorder="1" applyAlignment="1">
      <alignment horizontal="center" vertical="center"/>
    </xf>
    <xf numFmtId="2" fontId="22" fillId="3" borderId="28" xfId="0" applyNumberFormat="1" applyFont="1" applyFill="1" applyBorder="1" applyAlignment="1">
      <alignment horizontal="center" vertical="center"/>
    </xf>
    <xf numFmtId="2" fontId="22" fillId="3" borderId="27" xfId="0" applyNumberFormat="1" applyFont="1" applyFill="1" applyBorder="1" applyAlignment="1">
      <alignment horizontal="center" vertical="center"/>
    </xf>
    <xf numFmtId="2" fontId="22" fillId="3" borderId="33" xfId="0" applyNumberFormat="1" applyFont="1" applyFill="1" applyBorder="1" applyAlignment="1">
      <alignment horizontal="center"/>
    </xf>
    <xf numFmtId="2" fontId="22" fillId="3" borderId="32" xfId="0" applyNumberFormat="1" applyFont="1" applyFill="1" applyBorder="1" applyAlignment="1">
      <alignment horizontal="center"/>
    </xf>
    <xf numFmtId="2" fontId="22" fillId="3" borderId="31" xfId="0" applyNumberFormat="1" applyFont="1" applyFill="1" applyBorder="1" applyAlignment="1">
      <alignment horizontal="center"/>
    </xf>
    <xf numFmtId="2" fontId="22" fillId="3" borderId="59" xfId="0" applyNumberFormat="1" applyFont="1" applyFill="1" applyBorder="1" applyAlignment="1">
      <alignment horizontal="center"/>
    </xf>
    <xf numFmtId="2" fontId="22" fillId="3" borderId="11" xfId="0" applyNumberFormat="1" applyFont="1" applyFill="1" applyBorder="1" applyAlignment="1">
      <alignment horizontal="center"/>
    </xf>
    <xf numFmtId="2" fontId="22" fillId="3" borderId="30" xfId="0" applyNumberFormat="1" applyFont="1" applyFill="1" applyBorder="1" applyAlignment="1">
      <alignment horizontal="center"/>
    </xf>
    <xf numFmtId="2" fontId="22" fillId="3" borderId="29" xfId="0" applyNumberFormat="1" applyFont="1" applyFill="1" applyBorder="1" applyAlignment="1">
      <alignment horizontal="center"/>
    </xf>
    <xf numFmtId="2" fontId="22" fillId="3" borderId="28" xfId="0" applyNumberFormat="1" applyFont="1" applyFill="1" applyBorder="1" applyAlignment="1">
      <alignment horizontal="center"/>
    </xf>
    <xf numFmtId="2" fontId="22" fillId="3" borderId="27" xfId="0" applyNumberFormat="1" applyFont="1" applyFill="1" applyBorder="1" applyAlignment="1">
      <alignment horizontal="center"/>
    </xf>
    <xf numFmtId="2" fontId="22" fillId="3" borderId="14" xfId="0" applyNumberFormat="1" applyFont="1" applyFill="1" applyBorder="1" applyAlignment="1">
      <alignment horizontal="center" vertical="center"/>
    </xf>
    <xf numFmtId="49" fontId="22" fillId="12" borderId="59" xfId="0" applyNumberFormat="1" applyFont="1" applyFill="1" applyBorder="1" applyAlignment="1">
      <alignment horizontal="center" vertical="center"/>
    </xf>
    <xf numFmtId="49" fontId="22" fillId="12" borderId="5" xfId="0" applyNumberFormat="1" applyFont="1" applyFill="1" applyBorder="1"/>
    <xf numFmtId="0" fontId="23" fillId="12" borderId="57" xfId="0" applyFont="1" applyFill="1" applyBorder="1" applyAlignment="1">
      <alignment horizontal="center" vertical="center"/>
    </xf>
    <xf numFmtId="0" fontId="23" fillId="12" borderId="13" xfId="0" applyFont="1" applyFill="1" applyBorder="1" applyAlignment="1">
      <alignment horizontal="center" vertical="center"/>
    </xf>
    <xf numFmtId="0" fontId="23" fillId="12" borderId="59" xfId="0" applyFont="1" applyFill="1" applyBorder="1" applyAlignment="1">
      <alignment horizontal="center" vertical="center"/>
    </xf>
    <xf numFmtId="0" fontId="23" fillId="12" borderId="11" xfId="0" applyFont="1" applyFill="1" applyBorder="1" applyAlignment="1">
      <alignment horizontal="center" vertical="center"/>
    </xf>
    <xf numFmtId="0" fontId="22" fillId="12" borderId="5" xfId="0" applyFont="1" applyFill="1" applyBorder="1"/>
    <xf numFmtId="0" fontId="22" fillId="12" borderId="19" xfId="0" applyFont="1" applyFill="1" applyBorder="1"/>
    <xf numFmtId="2" fontId="22" fillId="0" borderId="63" xfId="0" applyNumberFormat="1" applyFont="1" applyBorder="1" applyAlignment="1">
      <alignment horizontal="center" vertical="center"/>
    </xf>
    <xf numFmtId="164" fontId="22" fillId="13" borderId="33" xfId="0" applyNumberFormat="1" applyFont="1" applyFill="1" applyBorder="1" applyAlignment="1">
      <alignment horizontal="center" vertical="center"/>
    </xf>
    <xf numFmtId="0" fontId="28" fillId="10" borderId="8" xfId="0" applyFont="1" applyFill="1" applyBorder="1" applyAlignment="1">
      <alignment horizontal="center" vertical="center"/>
    </xf>
    <xf numFmtId="0" fontId="28" fillId="10" borderId="10" xfId="0" applyFont="1" applyFill="1" applyBorder="1" applyAlignment="1">
      <alignment horizontal="center" vertical="center"/>
    </xf>
    <xf numFmtId="0" fontId="28" fillId="10" borderId="9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164" fontId="22" fillId="13" borderId="32" xfId="0" applyNumberFormat="1" applyFont="1" applyFill="1" applyBorder="1" applyAlignment="1">
      <alignment horizontal="center" vertical="center"/>
    </xf>
    <xf numFmtId="164" fontId="22" fillId="13" borderId="31" xfId="0" applyNumberFormat="1" applyFont="1" applyFill="1" applyBorder="1" applyAlignment="1">
      <alignment horizontal="center" vertical="center"/>
    </xf>
    <xf numFmtId="0" fontId="26" fillId="12" borderId="21" xfId="0" applyFont="1" applyFill="1" applyBorder="1" applyAlignment="1">
      <alignment horizontal="center" vertical="center"/>
    </xf>
    <xf numFmtId="0" fontId="26" fillId="12" borderId="21" xfId="0" applyFont="1" applyFill="1" applyBorder="1" applyAlignment="1">
      <alignment horizontal="center" vertical="center" wrapText="1"/>
    </xf>
    <xf numFmtId="0" fontId="22" fillId="0" borderId="33" xfId="0" applyFont="1" applyBorder="1" applyAlignment="1">
      <alignment horizontal="center"/>
    </xf>
    <xf numFmtId="0" fontId="22" fillId="0" borderId="59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22" fillId="12" borderId="56" xfId="0" applyFont="1" applyFill="1" applyBorder="1" applyAlignment="1">
      <alignment horizontal="center" vertical="center"/>
    </xf>
    <xf numFmtId="2" fontId="23" fillId="12" borderId="54" xfId="0" applyNumberFormat="1" applyFont="1" applyFill="1" applyBorder="1" applyAlignment="1">
      <alignment horizontal="center" vertical="center"/>
    </xf>
    <xf numFmtId="2" fontId="23" fillId="12" borderId="55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2" fontId="22" fillId="0" borderId="0" xfId="0" applyNumberFormat="1" applyFont="1" applyAlignment="1">
      <alignment vertical="center"/>
    </xf>
    <xf numFmtId="164" fontId="22" fillId="3" borderId="33" xfId="0" applyNumberFormat="1" applyFont="1" applyFill="1" applyBorder="1" applyAlignment="1">
      <alignment horizontal="center"/>
    </xf>
    <xf numFmtId="164" fontId="22" fillId="3" borderId="32" xfId="0" applyNumberFormat="1" applyFont="1" applyFill="1" applyBorder="1" applyAlignment="1">
      <alignment horizontal="center"/>
    </xf>
    <xf numFmtId="164" fontId="22" fillId="3" borderId="31" xfId="0" applyNumberFormat="1" applyFont="1" applyFill="1" applyBorder="1" applyAlignment="1">
      <alignment horizontal="center"/>
    </xf>
    <xf numFmtId="164" fontId="22" fillId="3" borderId="59" xfId="0" applyNumberFormat="1" applyFont="1" applyFill="1" applyBorder="1" applyAlignment="1">
      <alignment horizontal="center"/>
    </xf>
    <xf numFmtId="164" fontId="22" fillId="3" borderId="11" xfId="0" applyNumberFormat="1" applyFont="1" applyFill="1" applyBorder="1" applyAlignment="1">
      <alignment horizontal="center"/>
    </xf>
    <xf numFmtId="164" fontId="22" fillId="3" borderId="30" xfId="0" applyNumberFormat="1" applyFont="1" applyFill="1" applyBorder="1" applyAlignment="1">
      <alignment horizontal="center"/>
    </xf>
    <xf numFmtId="164" fontId="22" fillId="0" borderId="34" xfId="0" applyNumberFormat="1" applyFont="1" applyBorder="1" applyAlignment="1">
      <alignment horizontal="center" vertical="center"/>
    </xf>
    <xf numFmtId="10" fontId="23" fillId="0" borderId="4" xfId="1" applyNumberFormat="1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12" borderId="33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7" xfId="0" applyFont="1" applyBorder="1" applyAlignment="1">
      <alignment horizontal="center" vertical="center"/>
    </xf>
    <xf numFmtId="0" fontId="23" fillId="12" borderId="64" xfId="0" applyFont="1" applyFill="1" applyBorder="1" applyAlignment="1">
      <alignment horizontal="center" vertical="center" wrapText="1"/>
    </xf>
    <xf numFmtId="0" fontId="23" fillId="12" borderId="65" xfId="0" applyFont="1" applyFill="1" applyBorder="1" applyAlignment="1">
      <alignment horizontal="center" vertical="center" wrapText="1"/>
    </xf>
    <xf numFmtId="0" fontId="23" fillId="12" borderId="66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 wrapText="1"/>
    </xf>
    <xf numFmtId="0" fontId="26" fillId="12" borderId="9" xfId="0" applyFont="1" applyFill="1" applyBorder="1" applyAlignment="1">
      <alignment vertical="center" wrapText="1"/>
    </xf>
    <xf numFmtId="164" fontId="22" fillId="0" borderId="59" xfId="0" applyNumberFormat="1" applyFont="1" applyFill="1" applyBorder="1" applyAlignment="1">
      <alignment horizontal="center"/>
    </xf>
    <xf numFmtId="164" fontId="22" fillId="0" borderId="11" xfId="0" applyNumberFormat="1" applyFont="1" applyFill="1" applyBorder="1" applyAlignment="1">
      <alignment horizontal="center"/>
    </xf>
    <xf numFmtId="164" fontId="22" fillId="3" borderId="29" xfId="0" applyNumberFormat="1" applyFont="1" applyFill="1" applyBorder="1" applyAlignment="1">
      <alignment horizontal="center"/>
    </xf>
    <xf numFmtId="164" fontId="22" fillId="3" borderId="28" xfId="0" applyNumberFormat="1" applyFont="1" applyFill="1" applyBorder="1" applyAlignment="1">
      <alignment horizontal="center"/>
    </xf>
    <xf numFmtId="164" fontId="22" fillId="3" borderId="27" xfId="0" applyNumberFormat="1" applyFont="1" applyFill="1" applyBorder="1" applyAlignment="1">
      <alignment horizontal="center"/>
    </xf>
    <xf numFmtId="2" fontId="22" fillId="0" borderId="59" xfId="0" applyNumberFormat="1" applyFont="1" applyFill="1" applyBorder="1" applyAlignment="1">
      <alignment horizontal="center"/>
    </xf>
    <xf numFmtId="0" fontId="22" fillId="3" borderId="78" xfId="0" applyFont="1" applyFill="1" applyBorder="1" applyAlignment="1">
      <alignment horizontal="center" vertical="center"/>
    </xf>
    <xf numFmtId="2" fontId="22" fillId="3" borderId="37" xfId="0" applyNumberFormat="1" applyFont="1" applyFill="1" applyBorder="1" applyAlignment="1">
      <alignment horizontal="center" vertical="center"/>
    </xf>
    <xf numFmtId="0" fontId="22" fillId="0" borderId="20" xfId="0" applyFont="1" applyBorder="1"/>
    <xf numFmtId="2" fontId="26" fillId="12" borderId="7" xfId="0" applyNumberFormat="1" applyFont="1" applyFill="1" applyBorder="1" applyAlignment="1">
      <alignment horizontal="center" vertical="center"/>
    </xf>
    <xf numFmtId="2" fontId="22" fillId="0" borderId="55" xfId="0" applyNumberFormat="1" applyFont="1" applyBorder="1" applyAlignment="1">
      <alignment horizontal="center" vertical="center"/>
    </xf>
    <xf numFmtId="165" fontId="22" fillId="0" borderId="58" xfId="0" applyNumberFormat="1" applyFont="1" applyFill="1" applyBorder="1" applyAlignment="1">
      <alignment horizontal="center" vertical="center"/>
    </xf>
    <xf numFmtId="165" fontId="22" fillId="0" borderId="30" xfId="0" applyNumberFormat="1" applyFont="1" applyFill="1" applyBorder="1" applyAlignment="1">
      <alignment horizontal="center" vertical="center"/>
    </xf>
    <xf numFmtId="164" fontId="22" fillId="0" borderId="27" xfId="0" applyNumberFormat="1" applyFont="1" applyBorder="1" applyAlignment="1">
      <alignment horizontal="center" vertical="center"/>
    </xf>
    <xf numFmtId="1" fontId="22" fillId="0" borderId="32" xfId="0" applyNumberFormat="1" applyFont="1" applyFill="1" applyBorder="1" applyAlignment="1">
      <alignment horizontal="center" vertical="center"/>
    </xf>
    <xf numFmtId="164" fontId="22" fillId="0" borderId="32" xfId="0" applyNumberFormat="1" applyFont="1" applyFill="1" applyBorder="1" applyAlignment="1">
      <alignment horizontal="center" vertical="center"/>
    </xf>
    <xf numFmtId="1" fontId="22" fillId="0" borderId="11" xfId="0" applyNumberFormat="1" applyFont="1" applyFill="1" applyBorder="1" applyAlignment="1">
      <alignment horizontal="center" vertical="center"/>
    </xf>
    <xf numFmtId="164" fontId="22" fillId="0" borderId="11" xfId="0" applyNumberFormat="1" applyFont="1" applyFill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22" fillId="0" borderId="13" xfId="0" applyNumberFormat="1" applyFont="1" applyBorder="1" applyAlignment="1">
      <alignment horizontal="center" vertical="center"/>
    </xf>
    <xf numFmtId="164" fontId="22" fillId="0" borderId="58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12" borderId="4" xfId="0" applyFont="1" applyFill="1" applyBorder="1" applyAlignment="1">
      <alignment horizontal="center" vertical="center"/>
    </xf>
    <xf numFmtId="0" fontId="23" fillId="12" borderId="6" xfId="0" applyFont="1" applyFill="1" applyBorder="1" applyAlignment="1">
      <alignment horizontal="center" vertical="center"/>
    </xf>
    <xf numFmtId="0" fontId="23" fillId="12" borderId="21" xfId="0" applyFont="1" applyFill="1" applyBorder="1" applyAlignment="1">
      <alignment horizontal="center" vertical="center"/>
    </xf>
    <xf numFmtId="0" fontId="23" fillId="12" borderId="23" xfId="0" applyFont="1" applyFill="1" applyBorder="1" applyAlignment="1">
      <alignment horizontal="center" vertical="center"/>
    </xf>
    <xf numFmtId="0" fontId="23" fillId="12" borderId="22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30" fillId="12" borderId="9" xfId="0" applyFont="1" applyFill="1" applyBorder="1" applyAlignment="1">
      <alignment horizontal="center" vertical="center"/>
    </xf>
    <xf numFmtId="164" fontId="23" fillId="12" borderId="22" xfId="0" applyNumberFormat="1" applyFont="1" applyFill="1" applyBorder="1" applyAlignment="1">
      <alignment horizontal="center" vertical="center"/>
    </xf>
    <xf numFmtId="165" fontId="23" fillId="12" borderId="2" xfId="0" applyNumberFormat="1" applyFont="1" applyFill="1" applyBorder="1" applyAlignment="1">
      <alignment horizontal="center" vertical="center"/>
    </xf>
    <xf numFmtId="165" fontId="23" fillId="12" borderId="21" xfId="0" applyNumberFormat="1" applyFont="1" applyFill="1" applyBorder="1" applyAlignment="1">
      <alignment horizontal="center" vertical="center"/>
    </xf>
    <xf numFmtId="165" fontId="23" fillId="12" borderId="22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10" borderId="21" xfId="0" applyFont="1" applyFill="1" applyBorder="1" applyAlignment="1">
      <alignment horizontal="center" vertical="center"/>
    </xf>
    <xf numFmtId="0" fontId="23" fillId="10" borderId="22" xfId="0" applyFont="1" applyFill="1" applyBorder="1" applyAlignment="1">
      <alignment horizontal="center" vertical="center"/>
    </xf>
    <xf numFmtId="0" fontId="21" fillId="10" borderId="56" xfId="0" applyFont="1" applyFill="1" applyBorder="1" applyAlignment="1">
      <alignment horizontal="center" vertical="center"/>
    </xf>
    <xf numFmtId="0" fontId="21" fillId="10" borderId="54" xfId="0" applyFont="1" applyFill="1" applyBorder="1" applyAlignment="1">
      <alignment horizontal="center" vertical="center"/>
    </xf>
    <xf numFmtId="0" fontId="21" fillId="10" borderId="55" xfId="0" applyFont="1" applyFill="1" applyBorder="1" applyAlignment="1">
      <alignment horizontal="center" vertical="center"/>
    </xf>
    <xf numFmtId="171" fontId="23" fillId="12" borderId="12" xfId="0" applyNumberFormat="1" applyFont="1" applyFill="1" applyBorder="1" applyAlignment="1">
      <alignment horizontal="center"/>
    </xf>
    <xf numFmtId="171" fontId="23" fillId="12" borderId="61" xfId="0" applyNumberFormat="1" applyFont="1" applyFill="1" applyBorder="1" applyAlignment="1">
      <alignment horizontal="center"/>
    </xf>
    <xf numFmtId="2" fontId="23" fillId="12" borderId="32" xfId="0" applyNumberFormat="1" applyFont="1" applyFill="1" applyBorder="1" applyAlignment="1">
      <alignment horizontal="center"/>
    </xf>
    <xf numFmtId="2" fontId="23" fillId="12" borderId="31" xfId="0" applyNumberFormat="1" applyFont="1" applyFill="1" applyBorder="1" applyAlignment="1">
      <alignment horizontal="center"/>
    </xf>
    <xf numFmtId="0" fontId="23" fillId="12" borderId="60" xfId="0" applyFont="1" applyFill="1" applyBorder="1" applyAlignment="1">
      <alignment horizontal="center" vertical="center"/>
    </xf>
    <xf numFmtId="0" fontId="22" fillId="12" borderId="25" xfId="0" applyFont="1" applyFill="1" applyBorder="1" applyAlignment="1">
      <alignment horizontal="center" vertical="center"/>
    </xf>
    <xf numFmtId="0" fontId="22" fillId="12" borderId="26" xfId="0" applyFont="1" applyFill="1" applyBorder="1" applyAlignment="1">
      <alignment horizontal="center" vertical="center"/>
    </xf>
    <xf numFmtId="0" fontId="22" fillId="12" borderId="24" xfId="0" applyFont="1" applyFill="1" applyBorder="1" applyAlignment="1">
      <alignment horizontal="center" vertical="center"/>
    </xf>
    <xf numFmtId="165" fontId="23" fillId="12" borderId="6" xfId="0" applyNumberFormat="1" applyFont="1" applyFill="1" applyBorder="1" applyAlignment="1">
      <alignment horizontal="center" vertical="center"/>
    </xf>
    <xf numFmtId="0" fontId="22" fillId="0" borderId="0" xfId="0" applyFont="1" applyProtection="1"/>
    <xf numFmtId="0" fontId="30" fillId="5" borderId="84" xfId="0" applyFont="1" applyFill="1" applyBorder="1" applyAlignment="1" applyProtection="1">
      <alignment horizontal="left" vertical="center" wrapText="1"/>
    </xf>
    <xf numFmtId="0" fontId="22" fillId="5" borderId="44" xfId="0" applyFont="1" applyFill="1" applyBorder="1" applyAlignment="1" applyProtection="1">
      <alignment horizontal="left" vertical="center" wrapText="1"/>
      <protection locked="0"/>
    </xf>
    <xf numFmtId="14" fontId="30" fillId="0" borderId="87" xfId="0" applyNumberFormat="1" applyFont="1" applyBorder="1" applyAlignment="1" applyProtection="1">
      <alignment horizontal="left" vertical="center" wrapText="1"/>
      <protection locked="0"/>
    </xf>
    <xf numFmtId="0" fontId="33" fillId="0" borderId="0" xfId="0" applyFont="1" applyBorder="1" applyAlignment="1" applyProtection="1">
      <alignment vertical="center" wrapText="1"/>
    </xf>
    <xf numFmtId="164" fontId="22" fillId="0" borderId="21" xfId="0" applyNumberFormat="1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1" fontId="22" fillId="0" borderId="22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166" fontId="23" fillId="0" borderId="21" xfId="0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164" fontId="23" fillId="0" borderId="21" xfId="0" applyNumberFormat="1" applyFont="1" applyBorder="1" applyAlignment="1">
      <alignment horizontal="center" vertical="center"/>
    </xf>
    <xf numFmtId="2" fontId="23" fillId="0" borderId="21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2" fontId="23" fillId="0" borderId="7" xfId="0" applyNumberFormat="1" applyFont="1" applyBorder="1" applyAlignment="1">
      <alignment horizontal="center" vertical="center"/>
    </xf>
    <xf numFmtId="0" fontId="30" fillId="5" borderId="0" xfId="0" applyFont="1" applyFill="1" applyBorder="1" applyAlignment="1" applyProtection="1">
      <alignment horizontal="left" vertical="center" wrapText="1"/>
    </xf>
    <xf numFmtId="0" fontId="34" fillId="5" borderId="0" xfId="0" applyFont="1" applyFill="1" applyBorder="1" applyAlignment="1" applyProtection="1">
      <alignment horizontal="left" vertical="center"/>
    </xf>
    <xf numFmtId="0" fontId="30" fillId="5" borderId="0" xfId="0" applyFont="1" applyFill="1" applyBorder="1" applyAlignment="1" applyProtection="1">
      <alignment horizontal="left" vertical="center"/>
    </xf>
    <xf numFmtId="0" fontId="23" fillId="5" borderId="0" xfId="0" applyFont="1" applyFill="1" applyBorder="1" applyAlignment="1" applyProtection="1">
      <alignment horizontal="left" vertical="center"/>
    </xf>
    <xf numFmtId="14" fontId="30" fillId="0" borderId="0" xfId="0" applyNumberFormat="1" applyFont="1" applyBorder="1" applyAlignment="1" applyProtection="1">
      <alignment horizontal="left" vertical="center"/>
    </xf>
    <xf numFmtId="0" fontId="22" fillId="0" borderId="3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35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4" xfId="0" applyFont="1" applyFill="1" applyBorder="1" applyAlignment="1" applyProtection="1">
      <alignment horizontal="center" vertical="center"/>
    </xf>
    <xf numFmtId="0" fontId="22" fillId="0" borderId="0" xfId="0" applyFont="1" applyFill="1" applyProtection="1"/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14" fillId="0" borderId="20" xfId="0" applyFont="1" applyBorder="1" applyAlignment="1" applyProtection="1">
      <alignment horizontal="center" vertical="center"/>
      <protection hidden="1"/>
    </xf>
    <xf numFmtId="0" fontId="22" fillId="0" borderId="55" xfId="0" applyFont="1" applyBorder="1"/>
    <xf numFmtId="164" fontId="22" fillId="0" borderId="59" xfId="0" applyNumberFormat="1" applyFont="1" applyFill="1" applyBorder="1" applyAlignment="1">
      <alignment horizontal="center" vertical="center"/>
    </xf>
    <xf numFmtId="164" fontId="22" fillId="0" borderId="29" xfId="0" applyNumberFormat="1" applyFont="1" applyFill="1" applyBorder="1" applyAlignment="1">
      <alignment horizontal="center" vertical="center"/>
    </xf>
    <xf numFmtId="1" fontId="22" fillId="0" borderId="28" xfId="0" applyNumberFormat="1" applyFont="1" applyFill="1" applyBorder="1" applyAlignment="1">
      <alignment horizontal="center" vertical="center"/>
    </xf>
    <xf numFmtId="164" fontId="22" fillId="0" borderId="28" xfId="0" applyNumberFormat="1" applyFont="1" applyFill="1" applyBorder="1" applyAlignment="1">
      <alignment horizontal="center" vertical="center"/>
    </xf>
    <xf numFmtId="164" fontId="22" fillId="0" borderId="14" xfId="0" applyNumberFormat="1" applyFont="1" applyFill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164" fontId="22" fillId="0" borderId="33" xfId="0" applyNumberFormat="1" applyFont="1" applyFill="1" applyBorder="1" applyAlignment="1">
      <alignment horizontal="center" vertical="center"/>
    </xf>
    <xf numFmtId="164" fontId="22" fillId="0" borderId="31" xfId="0" applyNumberFormat="1" applyFont="1" applyFill="1" applyBorder="1" applyAlignment="1">
      <alignment horizontal="center" vertical="center"/>
    </xf>
    <xf numFmtId="164" fontId="14" fillId="0" borderId="59" xfId="0" applyNumberFormat="1" applyFont="1" applyFill="1" applyBorder="1" applyAlignment="1">
      <alignment horizontal="center" vertical="center"/>
    </xf>
    <xf numFmtId="164" fontId="22" fillId="0" borderId="30" xfId="0" applyNumberFormat="1" applyFont="1" applyFill="1" applyBorder="1" applyAlignment="1">
      <alignment horizontal="center" vertical="center"/>
    </xf>
    <xf numFmtId="0" fontId="30" fillId="10" borderId="56" xfId="0" applyFont="1" applyFill="1" applyBorder="1" applyAlignment="1">
      <alignment horizontal="center" vertical="center"/>
    </xf>
    <xf numFmtId="0" fontId="30" fillId="10" borderId="54" xfId="0" applyFont="1" applyFill="1" applyBorder="1" applyAlignment="1">
      <alignment horizontal="center" vertical="center"/>
    </xf>
    <xf numFmtId="0" fontId="30" fillId="10" borderId="55" xfId="0" applyFont="1" applyFill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2" fontId="31" fillId="0" borderId="32" xfId="0" applyNumberFormat="1" applyFont="1" applyFill="1" applyBorder="1" applyAlignment="1">
      <alignment horizontal="center" vertical="center"/>
    </xf>
    <xf numFmtId="165" fontId="31" fillId="0" borderId="32" xfId="0" applyNumberFormat="1" applyFont="1" applyBorder="1" applyAlignment="1">
      <alignment horizontal="center" vertical="center"/>
    </xf>
    <xf numFmtId="165" fontId="31" fillId="0" borderId="31" xfId="0" applyNumberFormat="1" applyFont="1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2" fontId="31" fillId="0" borderId="11" xfId="0" applyNumberFormat="1" applyFont="1" applyFill="1" applyBorder="1" applyAlignment="1">
      <alignment horizontal="center" vertical="center"/>
    </xf>
    <xf numFmtId="165" fontId="31" fillId="0" borderId="11" xfId="0" applyNumberFormat="1" applyFont="1" applyBorder="1" applyAlignment="1">
      <alignment horizontal="center" vertical="center"/>
    </xf>
    <xf numFmtId="165" fontId="31" fillId="0" borderId="30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2" fontId="31" fillId="0" borderId="28" xfId="0" applyNumberFormat="1" applyFont="1" applyFill="1" applyBorder="1" applyAlignment="1">
      <alignment horizontal="center" vertical="center"/>
    </xf>
    <xf numFmtId="165" fontId="31" fillId="0" borderId="28" xfId="0" applyNumberFormat="1" applyFont="1" applyBorder="1" applyAlignment="1">
      <alignment horizontal="center" vertical="center"/>
    </xf>
    <xf numFmtId="165" fontId="31" fillId="0" borderId="27" xfId="0" applyNumberFormat="1" applyFont="1" applyBorder="1" applyAlignment="1">
      <alignment horizontal="center" vertical="center"/>
    </xf>
    <xf numFmtId="0" fontId="26" fillId="5" borderId="25" xfId="0" applyFont="1" applyFill="1" applyBorder="1" applyAlignment="1">
      <alignment horizontal="center" vertical="center"/>
    </xf>
    <xf numFmtId="0" fontId="26" fillId="5" borderId="26" xfId="0" applyFont="1" applyFill="1" applyBorder="1" applyAlignment="1">
      <alignment horizontal="center" vertical="center"/>
    </xf>
    <xf numFmtId="0" fontId="26" fillId="5" borderId="24" xfId="0" applyFont="1" applyFill="1" applyBorder="1" applyAlignment="1">
      <alignment horizontal="center" vertical="center"/>
    </xf>
    <xf numFmtId="2" fontId="31" fillId="5" borderId="76" xfId="0" applyNumberFormat="1" applyFont="1" applyFill="1" applyBorder="1" applyAlignment="1">
      <alignment horizontal="center"/>
    </xf>
    <xf numFmtId="2" fontId="31" fillId="5" borderId="74" xfId="0" applyNumberFormat="1" applyFont="1" applyFill="1" applyBorder="1" applyAlignment="1">
      <alignment horizontal="center"/>
    </xf>
    <xf numFmtId="2" fontId="31" fillId="5" borderId="75" xfId="0" applyNumberFormat="1" applyFont="1" applyFill="1" applyBorder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14" fillId="9" borderId="14" xfId="2" applyFont="1" applyFill="1" applyBorder="1" applyAlignment="1">
      <alignment horizontal="center"/>
    </xf>
    <xf numFmtId="0" fontId="14" fillId="9" borderId="16" xfId="2" applyFont="1" applyFill="1" applyBorder="1" applyAlignment="1">
      <alignment horizontal="center"/>
    </xf>
    <xf numFmtId="0" fontId="7" fillId="0" borderId="0" xfId="2" applyFont="1" applyFill="1" applyAlignment="1">
      <alignment horizontal="center"/>
    </xf>
    <xf numFmtId="166" fontId="14" fillId="0" borderId="11" xfId="2" applyNumberFormat="1" applyFont="1" applyFill="1" applyBorder="1" applyAlignment="1">
      <alignment horizontal="center"/>
    </xf>
    <xf numFmtId="0" fontId="14" fillId="0" borderId="11" xfId="2" applyFont="1" applyFill="1" applyBorder="1" applyAlignment="1">
      <alignment horizontal="center"/>
    </xf>
    <xf numFmtId="169" fontId="7" fillId="9" borderId="14" xfId="2" applyNumberFormat="1" applyFont="1" applyFill="1" applyBorder="1" applyAlignment="1">
      <alignment horizontal="center"/>
    </xf>
    <xf numFmtId="169" fontId="7" fillId="9" borderId="15" xfId="2" applyNumberFormat="1" applyFont="1" applyFill="1" applyBorder="1" applyAlignment="1">
      <alignment horizontal="center"/>
    </xf>
    <xf numFmtId="169" fontId="7" fillId="9" borderId="16" xfId="2" applyNumberFormat="1" applyFont="1" applyFill="1" applyBorder="1" applyAlignment="1">
      <alignment horizontal="center"/>
    </xf>
    <xf numFmtId="0" fontId="7" fillId="9" borderId="47" xfId="2" applyFont="1" applyFill="1" applyBorder="1"/>
    <xf numFmtId="0" fontId="7" fillId="9" borderId="15" xfId="2" applyFont="1" applyFill="1" applyBorder="1"/>
    <xf numFmtId="0" fontId="7" fillId="9" borderId="16" xfId="2" applyFont="1" applyFill="1" applyBorder="1"/>
    <xf numFmtId="0" fontId="7" fillId="9" borderId="48" xfId="2" applyFont="1" applyFill="1" applyBorder="1" applyAlignment="1">
      <alignment wrapText="1"/>
    </xf>
    <xf numFmtId="0" fontId="7" fillId="9" borderId="39" xfId="2" applyFont="1" applyFill="1" applyBorder="1" applyAlignment="1">
      <alignment wrapText="1"/>
    </xf>
    <xf numFmtId="0" fontId="7" fillId="9" borderId="40" xfId="2" applyFont="1" applyFill="1" applyBorder="1" applyAlignment="1">
      <alignment wrapText="1"/>
    </xf>
    <xf numFmtId="0" fontId="0" fillId="0" borderId="49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42" xfId="0" applyBorder="1" applyAlignment="1">
      <alignment wrapText="1"/>
    </xf>
    <xf numFmtId="0" fontId="7" fillId="9" borderId="12" xfId="2" applyFont="1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7" fillId="9" borderId="50" xfId="2" applyFont="1" applyFill="1" applyBorder="1"/>
    <xf numFmtId="0" fontId="7" fillId="9" borderId="51" xfId="2" applyFont="1" applyFill="1" applyBorder="1"/>
    <xf numFmtId="0" fontId="7" fillId="9" borderId="52" xfId="2" applyFont="1" applyFill="1" applyBorder="1"/>
    <xf numFmtId="0" fontId="7" fillId="9" borderId="14" xfId="2" applyFont="1" applyFill="1" applyBorder="1" applyAlignment="1">
      <alignment horizontal="left"/>
    </xf>
    <xf numFmtId="0" fontId="7" fillId="9" borderId="16" xfId="2" applyFont="1" applyFill="1" applyBorder="1" applyAlignment="1">
      <alignment horizontal="left"/>
    </xf>
    <xf numFmtId="0" fontId="7" fillId="9" borderId="15" xfId="2" applyFont="1" applyFill="1" applyBorder="1" applyAlignment="1">
      <alignment horizontal="left"/>
    </xf>
    <xf numFmtId="1" fontId="7" fillId="9" borderId="14" xfId="2" applyNumberFormat="1" applyFont="1" applyFill="1" applyBorder="1" applyAlignment="1">
      <alignment horizontal="center"/>
    </xf>
    <xf numFmtId="1" fontId="7" fillId="9" borderId="15" xfId="2" applyNumberFormat="1" applyFont="1" applyFill="1" applyBorder="1" applyAlignment="1">
      <alignment horizontal="center"/>
    </xf>
    <xf numFmtId="1" fontId="7" fillId="9" borderId="16" xfId="2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169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69" fontId="0" fillId="8" borderId="16" xfId="0" applyNumberFormat="1" applyFill="1" applyBorder="1" applyAlignment="1">
      <alignment horizontal="center"/>
    </xf>
    <xf numFmtId="0" fontId="7" fillId="9" borderId="43" xfId="2" applyFont="1" applyFill="1" applyBorder="1"/>
    <xf numFmtId="0" fontId="7" fillId="9" borderId="44" xfId="2" applyFont="1" applyFill="1" applyBorder="1"/>
    <xf numFmtId="0" fontId="7" fillId="9" borderId="45" xfId="2" applyFont="1" applyFill="1" applyBorder="1"/>
    <xf numFmtId="0" fontId="0" fillId="4" borderId="11" xfId="0" applyFill="1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8" fillId="10" borderId="8" xfId="0" applyFont="1" applyFill="1" applyBorder="1" applyAlignment="1">
      <alignment horizontal="center" vertical="center"/>
    </xf>
    <xf numFmtId="0" fontId="28" fillId="10" borderId="10" xfId="0" applyFont="1" applyFill="1" applyBorder="1" applyAlignment="1">
      <alignment horizontal="center" vertical="center"/>
    </xf>
    <xf numFmtId="0" fontId="28" fillId="10" borderId="9" xfId="0" applyFont="1" applyFill="1" applyBorder="1" applyAlignment="1">
      <alignment horizontal="center" vertical="center"/>
    </xf>
    <xf numFmtId="2" fontId="26" fillId="12" borderId="8" xfId="0" applyNumberFormat="1" applyFont="1" applyFill="1" applyBorder="1" applyAlignment="1">
      <alignment horizontal="center" vertical="center"/>
    </xf>
    <xf numFmtId="2" fontId="26" fillId="12" borderId="10" xfId="0" applyNumberFormat="1" applyFont="1" applyFill="1" applyBorder="1" applyAlignment="1">
      <alignment horizontal="center" vertical="center"/>
    </xf>
    <xf numFmtId="2" fontId="26" fillId="12" borderId="9" xfId="0" applyNumberFormat="1" applyFont="1" applyFill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/>
    </xf>
    <xf numFmtId="2" fontId="22" fillId="0" borderId="16" xfId="0" applyNumberFormat="1" applyFont="1" applyBorder="1" applyAlignment="1">
      <alignment horizontal="center"/>
    </xf>
    <xf numFmtId="2" fontId="23" fillId="11" borderId="23" xfId="0" applyNumberFormat="1" applyFont="1" applyFill="1" applyBorder="1" applyAlignment="1">
      <alignment horizontal="center" vertical="center"/>
    </xf>
    <xf numFmtId="2" fontId="23" fillId="11" borderId="22" xfId="0" applyNumberFormat="1" applyFont="1" applyFill="1" applyBorder="1" applyAlignment="1">
      <alignment horizontal="center" vertical="center"/>
    </xf>
    <xf numFmtId="2" fontId="22" fillId="11" borderId="0" xfId="0" applyNumberFormat="1" applyFont="1" applyFill="1" applyBorder="1" applyAlignment="1">
      <alignment horizontal="center" vertical="center"/>
    </xf>
    <xf numFmtId="2" fontId="22" fillId="11" borderId="19" xfId="0" applyNumberFormat="1" applyFont="1" applyFill="1" applyBorder="1" applyAlignment="1">
      <alignment horizontal="center" vertical="center"/>
    </xf>
    <xf numFmtId="0" fontId="23" fillId="12" borderId="79" xfId="0" applyFont="1" applyFill="1" applyBorder="1" applyAlignment="1">
      <alignment horizontal="center"/>
    </xf>
    <xf numFmtId="0" fontId="23" fillId="12" borderId="36" xfId="0" applyFont="1" applyFill="1" applyBorder="1" applyAlignment="1">
      <alignment horizontal="center"/>
    </xf>
    <xf numFmtId="0" fontId="23" fillId="12" borderId="80" xfId="0" applyFont="1" applyFill="1" applyBorder="1" applyAlignment="1">
      <alignment horizontal="center"/>
    </xf>
    <xf numFmtId="2" fontId="22" fillId="3" borderId="57" xfId="0" applyNumberFormat="1" applyFont="1" applyFill="1" applyBorder="1" applyAlignment="1">
      <alignment horizontal="center" vertical="center"/>
    </xf>
    <xf numFmtId="2" fontId="22" fillId="3" borderId="13" xfId="0" applyNumberFormat="1" applyFont="1" applyFill="1" applyBorder="1" applyAlignment="1">
      <alignment horizontal="center" vertical="center"/>
    </xf>
    <xf numFmtId="0" fontId="22" fillId="3" borderId="37" xfId="0" applyFont="1" applyFill="1" applyBorder="1" applyAlignment="1">
      <alignment horizontal="center" vertical="center"/>
    </xf>
    <xf numFmtId="0" fontId="22" fillId="3" borderId="42" xfId="0" applyFont="1" applyFill="1" applyBorder="1" applyAlignment="1">
      <alignment horizontal="center" vertical="center"/>
    </xf>
    <xf numFmtId="0" fontId="23" fillId="12" borderId="69" xfId="0" applyFont="1" applyFill="1" applyBorder="1" applyAlignment="1">
      <alignment horizontal="center" vertical="center" wrapText="1"/>
    </xf>
    <xf numFmtId="0" fontId="23" fillId="12" borderId="65" xfId="0" applyFont="1" applyFill="1" applyBorder="1" applyAlignment="1">
      <alignment horizontal="center" vertical="center" wrapText="1"/>
    </xf>
    <xf numFmtId="0" fontId="23" fillId="12" borderId="70" xfId="0" applyFont="1" applyFill="1" applyBorder="1" applyAlignment="1">
      <alignment horizontal="center" vertical="center" wrapText="1"/>
    </xf>
    <xf numFmtId="0" fontId="23" fillId="12" borderId="66" xfId="0" applyFont="1" applyFill="1" applyBorder="1" applyAlignment="1">
      <alignment horizontal="center" vertical="center" wrapText="1"/>
    </xf>
    <xf numFmtId="0" fontId="23" fillId="12" borderId="33" xfId="0" applyFont="1" applyFill="1" applyBorder="1" applyAlignment="1">
      <alignment horizontal="center" vertical="center"/>
    </xf>
    <xf numFmtId="0" fontId="23" fillId="12" borderId="32" xfId="0" applyFont="1" applyFill="1" applyBorder="1" applyAlignment="1">
      <alignment horizontal="center" vertical="center"/>
    </xf>
    <xf numFmtId="0" fontId="23" fillId="12" borderId="31" xfId="0" applyFont="1" applyFill="1" applyBorder="1" applyAlignment="1">
      <alignment horizontal="center" vertical="center"/>
    </xf>
    <xf numFmtId="0" fontId="23" fillId="12" borderId="29" xfId="0" applyFont="1" applyFill="1" applyBorder="1" applyAlignment="1">
      <alignment horizontal="center" vertical="center"/>
    </xf>
    <xf numFmtId="0" fontId="23" fillId="12" borderId="28" xfId="0" applyFont="1" applyFill="1" applyBorder="1" applyAlignment="1">
      <alignment horizontal="center" vertical="center"/>
    </xf>
    <xf numFmtId="0" fontId="23" fillId="12" borderId="27" xfId="0" applyFont="1" applyFill="1" applyBorder="1" applyAlignment="1">
      <alignment horizontal="center" vertical="center"/>
    </xf>
    <xf numFmtId="0" fontId="23" fillId="12" borderId="33" xfId="0" applyFont="1" applyFill="1" applyBorder="1" applyAlignment="1">
      <alignment horizontal="center" vertical="center" wrapText="1"/>
    </xf>
    <xf numFmtId="0" fontId="23" fillId="12" borderId="32" xfId="0" applyFont="1" applyFill="1" applyBorder="1" applyAlignment="1">
      <alignment horizontal="center" vertical="center" wrapText="1"/>
    </xf>
    <xf numFmtId="0" fontId="23" fillId="12" borderId="29" xfId="0" applyFont="1" applyFill="1" applyBorder="1" applyAlignment="1">
      <alignment horizontal="center" vertical="center" wrapText="1"/>
    </xf>
    <xf numFmtId="0" fontId="23" fillId="12" borderId="28" xfId="0" applyFont="1" applyFill="1" applyBorder="1" applyAlignment="1">
      <alignment horizontal="center" vertical="center" wrapText="1"/>
    </xf>
    <xf numFmtId="166" fontId="22" fillId="0" borderId="28" xfId="0" applyNumberFormat="1" applyFont="1" applyFill="1" applyBorder="1" applyAlignment="1">
      <alignment horizontal="center" vertical="center"/>
    </xf>
    <xf numFmtId="166" fontId="22" fillId="0" borderId="27" xfId="0" applyNumberFormat="1" applyFont="1" applyFill="1" applyBorder="1" applyAlignment="1">
      <alignment horizontal="center" vertical="center"/>
    </xf>
    <xf numFmtId="0" fontId="23" fillId="12" borderId="35" xfId="0" applyFont="1" applyFill="1" applyBorder="1" applyAlignment="1">
      <alignment horizontal="center"/>
    </xf>
    <xf numFmtId="0" fontId="23" fillId="12" borderId="15" xfId="0" applyFont="1" applyFill="1" applyBorder="1" applyAlignment="1">
      <alignment horizontal="center"/>
    </xf>
    <xf numFmtId="0" fontId="23" fillId="12" borderId="74" xfId="0" applyFont="1" applyFill="1" applyBorder="1" applyAlignment="1">
      <alignment horizontal="center"/>
    </xf>
    <xf numFmtId="0" fontId="22" fillId="0" borderId="1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31" fillId="10" borderId="20" xfId="0" applyFont="1" applyFill="1" applyBorder="1" applyAlignment="1">
      <alignment horizontal="center"/>
    </xf>
    <xf numFmtId="0" fontId="31" fillId="10" borderId="2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justify" vertical="center" wrapText="1"/>
    </xf>
    <xf numFmtId="0" fontId="26" fillId="5" borderId="20" xfId="0" applyFont="1" applyFill="1" applyBorder="1" applyAlignment="1">
      <alignment horizontal="justify" vertical="center" wrapText="1"/>
    </xf>
    <xf numFmtId="0" fontId="26" fillId="5" borderId="2" xfId="0" applyFont="1" applyFill="1" applyBorder="1" applyAlignment="1">
      <alignment horizontal="justify" vertical="center" wrapText="1"/>
    </xf>
    <xf numFmtId="0" fontId="26" fillId="5" borderId="3" xfId="0" applyFont="1" applyFill="1" applyBorder="1" applyAlignment="1">
      <alignment horizontal="justify" vertical="center" wrapText="1"/>
    </xf>
    <xf numFmtId="0" fontId="26" fillId="5" borderId="0" xfId="0" applyFont="1" applyFill="1" applyBorder="1" applyAlignment="1">
      <alignment horizontal="justify" vertical="center" wrapText="1"/>
    </xf>
    <xf numFmtId="0" fontId="26" fillId="5" borderId="4" xfId="0" applyFont="1" applyFill="1" applyBorder="1" applyAlignment="1">
      <alignment horizontal="justify" vertical="center" wrapText="1"/>
    </xf>
    <xf numFmtId="0" fontId="26" fillId="5" borderId="5" xfId="0" applyFont="1" applyFill="1" applyBorder="1" applyAlignment="1">
      <alignment horizontal="justify" vertical="center" wrapText="1"/>
    </xf>
    <xf numFmtId="0" fontId="26" fillId="5" borderId="19" xfId="0" applyFont="1" applyFill="1" applyBorder="1" applyAlignment="1">
      <alignment horizontal="justify" vertical="center" wrapText="1"/>
    </xf>
    <xf numFmtId="0" fontId="26" fillId="5" borderId="6" xfId="0" applyFont="1" applyFill="1" applyBorder="1" applyAlignment="1">
      <alignment horizontal="justify" vertical="center" wrapText="1"/>
    </xf>
    <xf numFmtId="0" fontId="31" fillId="10" borderId="19" xfId="0" applyFont="1" applyFill="1" applyBorder="1" applyAlignment="1">
      <alignment horizontal="center"/>
    </xf>
    <xf numFmtId="0" fontId="31" fillId="10" borderId="6" xfId="0" applyFont="1" applyFill="1" applyBorder="1" applyAlignment="1">
      <alignment horizontal="center"/>
    </xf>
    <xf numFmtId="0" fontId="22" fillId="0" borderId="6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23" fillId="12" borderId="10" xfId="0" applyFont="1" applyFill="1" applyBorder="1" applyAlignment="1">
      <alignment horizontal="center" vertical="center"/>
    </xf>
    <xf numFmtId="0" fontId="23" fillId="12" borderId="9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horizontal="center" vertical="center"/>
    </xf>
    <xf numFmtId="0" fontId="23" fillId="12" borderId="19" xfId="0" applyFont="1" applyFill="1" applyBorder="1" applyAlignment="1">
      <alignment horizontal="center" vertical="center"/>
    </xf>
    <xf numFmtId="0" fontId="23" fillId="12" borderId="6" xfId="0" applyFont="1" applyFill="1" applyBorder="1" applyAlignment="1">
      <alignment horizontal="center" vertical="center"/>
    </xf>
    <xf numFmtId="0" fontId="23" fillId="10" borderId="8" xfId="0" applyFont="1" applyFill="1" applyBorder="1" applyAlignment="1">
      <alignment horizontal="center" vertical="center"/>
    </xf>
    <xf numFmtId="0" fontId="23" fillId="10" borderId="10" xfId="0" applyFont="1" applyFill="1" applyBorder="1" applyAlignment="1">
      <alignment horizontal="center" vertical="center"/>
    </xf>
    <xf numFmtId="0" fontId="23" fillId="10" borderId="9" xfId="0" applyFont="1" applyFill="1" applyBorder="1" applyAlignment="1">
      <alignment horizontal="center" vertical="center"/>
    </xf>
    <xf numFmtId="164" fontId="26" fillId="10" borderId="8" xfId="0" applyNumberFormat="1" applyFont="1" applyFill="1" applyBorder="1" applyAlignment="1">
      <alignment horizontal="center" vertical="center"/>
    </xf>
    <xf numFmtId="164" fontId="26" fillId="10" borderId="10" xfId="0" applyNumberFormat="1" applyFont="1" applyFill="1" applyBorder="1" applyAlignment="1">
      <alignment horizontal="center" vertical="center"/>
    </xf>
    <xf numFmtId="164" fontId="26" fillId="10" borderId="9" xfId="0" applyNumberFormat="1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0" fontId="23" fillId="12" borderId="2" xfId="0" applyFont="1" applyFill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3" fillId="12" borderId="3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horizontal="center" vertical="center"/>
    </xf>
    <xf numFmtId="0" fontId="32" fillId="10" borderId="8" xfId="0" applyFont="1" applyFill="1" applyBorder="1" applyAlignment="1">
      <alignment horizontal="center" vertical="center"/>
    </xf>
    <xf numFmtId="0" fontId="32" fillId="10" borderId="10" xfId="0" applyFont="1" applyFill="1" applyBorder="1" applyAlignment="1">
      <alignment horizontal="center" vertical="center"/>
    </xf>
    <xf numFmtId="0" fontId="32" fillId="10" borderId="9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3" fillId="12" borderId="20" xfId="0" applyFont="1" applyFill="1" applyBorder="1" applyAlignment="1">
      <alignment horizontal="center" vertical="center"/>
    </xf>
    <xf numFmtId="2" fontId="23" fillId="12" borderId="32" xfId="0" applyNumberFormat="1" applyFont="1" applyFill="1" applyBorder="1" applyAlignment="1">
      <alignment horizontal="center" vertical="center"/>
    </xf>
    <xf numFmtId="2" fontId="23" fillId="12" borderId="31" xfId="0" applyNumberFormat="1" applyFont="1" applyFill="1" applyBorder="1" applyAlignment="1">
      <alignment horizontal="center" vertical="center"/>
    </xf>
    <xf numFmtId="2" fontId="23" fillId="12" borderId="28" xfId="0" applyNumberFormat="1" applyFont="1" applyFill="1" applyBorder="1" applyAlignment="1">
      <alignment horizontal="center" vertical="center"/>
    </xf>
    <xf numFmtId="2" fontId="23" fillId="12" borderId="27" xfId="0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10" borderId="2" xfId="0" applyFont="1" applyFill="1" applyBorder="1" applyAlignment="1">
      <alignment horizontal="center" vertical="center"/>
    </xf>
    <xf numFmtId="164" fontId="23" fillId="10" borderId="8" xfId="0" applyNumberFormat="1" applyFont="1" applyFill="1" applyBorder="1" applyAlignment="1">
      <alignment horizontal="center" vertical="center"/>
    </xf>
    <xf numFmtId="164" fontId="23" fillId="10" borderId="10" xfId="0" applyNumberFormat="1" applyFont="1" applyFill="1" applyBorder="1" applyAlignment="1">
      <alignment horizontal="center" vertical="center"/>
    </xf>
    <xf numFmtId="164" fontId="23" fillId="10" borderId="9" xfId="0" applyNumberFormat="1" applyFont="1" applyFill="1" applyBorder="1" applyAlignment="1">
      <alignment horizontal="center" vertical="center"/>
    </xf>
    <xf numFmtId="168" fontId="22" fillId="0" borderId="0" xfId="0" applyNumberFormat="1" applyFont="1" applyAlignment="1">
      <alignment horizontal="left"/>
    </xf>
    <xf numFmtId="2" fontId="22" fillId="0" borderId="67" xfId="0" applyNumberFormat="1" applyFont="1" applyBorder="1" applyAlignment="1">
      <alignment horizontal="center" vertical="center"/>
    </xf>
    <xf numFmtId="2" fontId="22" fillId="0" borderId="18" xfId="0" applyNumberFormat="1" applyFont="1" applyBorder="1" applyAlignment="1">
      <alignment horizontal="center" vertical="center"/>
    </xf>
    <xf numFmtId="2" fontId="22" fillId="0" borderId="76" xfId="0" applyNumberFormat="1" applyFont="1" applyBorder="1" applyAlignment="1">
      <alignment horizontal="center" vertical="center"/>
    </xf>
    <xf numFmtId="2" fontId="22" fillId="0" borderId="35" xfId="0" applyNumberFormat="1" applyFont="1" applyBorder="1" applyAlignment="1">
      <alignment horizontal="center" vertical="center"/>
    </xf>
    <xf numFmtId="2" fontId="22" fillId="0" borderId="15" xfId="0" applyNumberFormat="1" applyFont="1" applyBorder="1" applyAlignment="1">
      <alignment horizontal="center" vertical="center"/>
    </xf>
    <xf numFmtId="2" fontId="22" fillId="0" borderId="74" xfId="0" applyNumberFormat="1" applyFont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 wrapText="1"/>
    </xf>
    <xf numFmtId="0" fontId="23" fillId="12" borderId="10" xfId="0" applyFont="1" applyFill="1" applyBorder="1" applyAlignment="1">
      <alignment horizontal="center" vertical="center" wrapText="1"/>
    </xf>
    <xf numFmtId="0" fontId="23" fillId="12" borderId="9" xfId="0" applyFont="1" applyFill="1" applyBorder="1" applyAlignment="1">
      <alignment horizontal="center" vertical="center" wrapText="1"/>
    </xf>
    <xf numFmtId="0" fontId="26" fillId="12" borderId="8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0" fontId="26" fillId="12" borderId="1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26" fillId="12" borderId="5" xfId="0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2" fontId="23" fillId="11" borderId="33" xfId="0" applyNumberFormat="1" applyFont="1" applyFill="1" applyBorder="1" applyAlignment="1">
      <alignment horizontal="center" vertical="center"/>
    </xf>
    <xf numFmtId="2" fontId="23" fillId="11" borderId="31" xfId="0" applyNumberFormat="1" applyFont="1" applyFill="1" applyBorder="1" applyAlignment="1">
      <alignment horizontal="center" vertical="center"/>
    </xf>
    <xf numFmtId="0" fontId="23" fillId="11" borderId="29" xfId="0" applyFont="1" applyFill="1" applyBorder="1" applyAlignment="1">
      <alignment horizontal="center" vertical="center"/>
    </xf>
    <xf numFmtId="0" fontId="23" fillId="11" borderId="27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2" fontId="22" fillId="0" borderId="72" xfId="0" applyNumberFormat="1" applyFont="1" applyBorder="1" applyAlignment="1">
      <alignment horizontal="center" vertical="center"/>
    </xf>
    <xf numFmtId="2" fontId="22" fillId="0" borderId="73" xfId="0" applyNumberFormat="1" applyFont="1" applyBorder="1" applyAlignment="1">
      <alignment horizontal="center" vertical="center"/>
    </xf>
    <xf numFmtId="2" fontId="22" fillId="0" borderId="75" xfId="0" applyNumberFormat="1" applyFont="1" applyBorder="1" applyAlignment="1">
      <alignment horizontal="center" vertical="center"/>
    </xf>
    <xf numFmtId="164" fontId="23" fillId="12" borderId="8" xfId="0" applyNumberFormat="1" applyFont="1" applyFill="1" applyBorder="1" applyAlignment="1">
      <alignment horizontal="center"/>
    </xf>
    <xf numFmtId="164" fontId="23" fillId="12" borderId="10" xfId="0" applyNumberFormat="1" applyFont="1" applyFill="1" applyBorder="1" applyAlignment="1">
      <alignment horizontal="center"/>
    </xf>
    <xf numFmtId="164" fontId="23" fillId="12" borderId="9" xfId="0" applyNumberFormat="1" applyFont="1" applyFill="1" applyBorder="1" applyAlignment="1">
      <alignment horizontal="center"/>
    </xf>
    <xf numFmtId="2" fontId="22" fillId="3" borderId="59" xfId="0" applyNumberFormat="1" applyFont="1" applyFill="1" applyBorder="1" applyAlignment="1">
      <alignment horizontal="center" vertical="center"/>
    </xf>
    <xf numFmtId="2" fontId="22" fillId="3" borderId="11" xfId="0" applyNumberFormat="1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3" fillId="12" borderId="72" xfId="0" applyFont="1" applyFill="1" applyBorder="1" applyAlignment="1">
      <alignment horizontal="center"/>
    </xf>
    <xf numFmtId="0" fontId="23" fillId="12" borderId="73" xfId="0" applyFont="1" applyFill="1" applyBorder="1" applyAlignment="1">
      <alignment horizontal="center"/>
    </xf>
    <xf numFmtId="0" fontId="23" fillId="12" borderId="75" xfId="0" applyFont="1" applyFill="1" applyBorder="1" applyAlignment="1">
      <alignment horizontal="center"/>
    </xf>
    <xf numFmtId="2" fontId="22" fillId="0" borderId="29" xfId="0" applyNumberFormat="1" applyFont="1" applyFill="1" applyBorder="1" applyAlignment="1">
      <alignment horizontal="center" vertical="center"/>
    </xf>
    <xf numFmtId="2" fontId="22" fillId="0" borderId="28" xfId="0" applyNumberFormat="1" applyFont="1" applyFill="1" applyBorder="1" applyAlignment="1">
      <alignment horizontal="center" vertical="center"/>
    </xf>
    <xf numFmtId="0" fontId="22" fillId="3" borderId="78" xfId="0" applyFont="1" applyFill="1" applyBorder="1" applyAlignment="1">
      <alignment horizontal="center" vertical="center"/>
    </xf>
    <xf numFmtId="0" fontId="22" fillId="3" borderId="63" xfId="0" applyFont="1" applyFill="1" applyBorder="1" applyAlignment="1">
      <alignment horizontal="center" vertical="center"/>
    </xf>
    <xf numFmtId="2" fontId="22" fillId="0" borderId="11" xfId="0" applyNumberFormat="1" applyFont="1" applyFill="1" applyBorder="1" applyAlignment="1">
      <alignment horizontal="center" vertical="center"/>
    </xf>
    <xf numFmtId="2" fontId="22" fillId="0" borderId="30" xfId="0" applyNumberFormat="1" applyFont="1" applyFill="1" applyBorder="1" applyAlignment="1">
      <alignment horizontal="center" vertical="center"/>
    </xf>
    <xf numFmtId="0" fontId="31" fillId="3" borderId="11" xfId="0" applyFont="1" applyFill="1" applyBorder="1" applyAlignment="1">
      <alignment horizontal="center" vertical="center"/>
    </xf>
    <xf numFmtId="0" fontId="31" fillId="3" borderId="30" xfId="0" applyFont="1" applyFill="1" applyBorder="1" applyAlignment="1">
      <alignment horizontal="center"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30" xfId="0" applyFont="1" applyFill="1" applyBorder="1" applyAlignment="1">
      <alignment horizontal="center" vertical="center"/>
    </xf>
    <xf numFmtId="2" fontId="22" fillId="0" borderId="13" xfId="0" applyNumberFormat="1" applyFont="1" applyFill="1" applyBorder="1" applyAlignment="1">
      <alignment horizontal="center" vertical="center"/>
    </xf>
    <xf numFmtId="2" fontId="22" fillId="0" borderId="58" xfId="0" applyNumberFormat="1" applyFont="1" applyFill="1" applyBorder="1" applyAlignment="1">
      <alignment horizontal="center" vertical="center"/>
    </xf>
    <xf numFmtId="0" fontId="23" fillId="12" borderId="62" xfId="0" applyFont="1" applyFill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3" fillId="12" borderId="54" xfId="0" applyFont="1" applyFill="1" applyBorder="1" applyAlignment="1">
      <alignment horizontal="center" vertical="center"/>
    </xf>
    <xf numFmtId="0" fontId="23" fillId="12" borderId="55" xfId="0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/>
    </xf>
    <xf numFmtId="0" fontId="23" fillId="12" borderId="9" xfId="0" applyFont="1" applyFill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6" fillId="10" borderId="8" xfId="0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2" borderId="68" xfId="0" applyFont="1" applyFill="1" applyBorder="1" applyAlignment="1">
      <alignment horizontal="center" wrapText="1"/>
    </xf>
    <xf numFmtId="0" fontId="26" fillId="12" borderId="70" xfId="0" applyFont="1" applyFill="1" applyBorder="1" applyAlignment="1">
      <alignment horizontal="center" wrapText="1"/>
    </xf>
    <xf numFmtId="2" fontId="22" fillId="0" borderId="77" xfId="0" applyNumberFormat="1" applyFont="1" applyBorder="1" applyAlignment="1">
      <alignment horizontal="center"/>
    </xf>
    <xf numFmtId="2" fontId="22" fillId="0" borderId="34" xfId="0" applyNumberFormat="1" applyFont="1" applyBorder="1" applyAlignment="1">
      <alignment horizontal="center"/>
    </xf>
    <xf numFmtId="2" fontId="22" fillId="0" borderId="78" xfId="0" applyNumberFormat="1" applyFont="1" applyBorder="1" applyAlignment="1">
      <alignment horizontal="center"/>
    </xf>
    <xf numFmtId="2" fontId="22" fillId="0" borderId="63" xfId="0" applyNumberFormat="1" applyFont="1" applyBorder="1" applyAlignment="1">
      <alignment horizontal="center"/>
    </xf>
    <xf numFmtId="0" fontId="30" fillId="5" borderId="8" xfId="0" applyFont="1" applyFill="1" applyBorder="1" applyAlignment="1" applyProtection="1">
      <alignment horizontal="center" vertical="center" wrapText="1"/>
    </xf>
    <xf numFmtId="0" fontId="30" fillId="5" borderId="9" xfId="0" applyFont="1" applyFill="1" applyBorder="1" applyAlignment="1" applyProtection="1">
      <alignment horizontal="center" vertical="center" wrapText="1"/>
    </xf>
    <xf numFmtId="0" fontId="30" fillId="5" borderId="10" xfId="0" applyFont="1" applyFill="1" applyBorder="1" applyAlignment="1" applyProtection="1">
      <alignment horizontal="center" vertical="center" wrapText="1"/>
    </xf>
    <xf numFmtId="0" fontId="34" fillId="5" borderId="8" xfId="0" applyFont="1" applyFill="1" applyBorder="1" applyAlignment="1" applyProtection="1">
      <alignment horizontal="center" vertical="center" wrapText="1"/>
      <protection locked="0"/>
    </xf>
    <xf numFmtId="0" fontId="34" fillId="5" borderId="10" xfId="0" applyFont="1" applyFill="1" applyBorder="1" applyAlignment="1" applyProtection="1">
      <alignment horizontal="center" vertical="center" wrapText="1"/>
      <protection locked="0"/>
    </xf>
    <xf numFmtId="0" fontId="34" fillId="5" borderId="9" xfId="0" applyFont="1" applyFill="1" applyBorder="1" applyAlignment="1" applyProtection="1">
      <alignment horizontal="center" vertical="center" wrapText="1"/>
      <protection locked="0"/>
    </xf>
    <xf numFmtId="0" fontId="34" fillId="5" borderId="5" xfId="0" applyFont="1" applyFill="1" applyBorder="1" applyAlignment="1" applyProtection="1">
      <alignment horizontal="center" vertical="center" wrapText="1"/>
      <protection locked="0"/>
    </xf>
    <xf numFmtId="0" fontId="34" fillId="5" borderId="19" xfId="0" applyFont="1" applyFill="1" applyBorder="1" applyAlignment="1" applyProtection="1">
      <alignment horizontal="center" vertical="center" wrapText="1"/>
      <protection locked="0"/>
    </xf>
    <xf numFmtId="0" fontId="34" fillId="5" borderId="6" xfId="0" applyFont="1" applyFill="1" applyBorder="1" applyAlignment="1" applyProtection="1">
      <alignment horizontal="center" vertical="center" wrapText="1"/>
      <protection locked="0"/>
    </xf>
    <xf numFmtId="0" fontId="30" fillId="5" borderId="1" xfId="0" applyFont="1" applyFill="1" applyBorder="1" applyAlignment="1" applyProtection="1">
      <alignment horizontal="center" vertical="center" wrapText="1"/>
    </xf>
    <xf numFmtId="0" fontId="30" fillId="5" borderId="20" xfId="0" applyFont="1" applyFill="1" applyBorder="1" applyAlignment="1" applyProtection="1">
      <alignment horizontal="center" vertical="center" wrapText="1"/>
    </xf>
    <xf numFmtId="0" fontId="30" fillId="5" borderId="5" xfId="0" applyFont="1" applyFill="1" applyBorder="1" applyAlignment="1" applyProtection="1">
      <alignment horizontal="center" vertical="center" wrapText="1"/>
    </xf>
    <xf numFmtId="0" fontId="30" fillId="5" borderId="19" xfId="0" applyFont="1" applyFill="1" applyBorder="1" applyAlignment="1" applyProtection="1">
      <alignment horizontal="center" vertical="center" wrapText="1"/>
    </xf>
    <xf numFmtId="14" fontId="30" fillId="0" borderId="1" xfId="0" applyNumberFormat="1" applyFont="1" applyBorder="1" applyAlignment="1" applyProtection="1">
      <alignment horizontal="center" vertical="center" wrapText="1"/>
      <protection locked="0"/>
    </xf>
    <xf numFmtId="14" fontId="30" fillId="0" borderId="20" xfId="0" applyNumberFormat="1" applyFont="1" applyBorder="1" applyAlignment="1" applyProtection="1">
      <alignment horizontal="center" vertical="center" wrapText="1"/>
      <protection locked="0"/>
    </xf>
    <xf numFmtId="14" fontId="30" fillId="0" borderId="2" xfId="0" applyNumberFormat="1" applyFont="1" applyBorder="1" applyAlignment="1" applyProtection="1">
      <alignment horizontal="center" vertical="center" wrapText="1"/>
      <protection locked="0"/>
    </xf>
    <xf numFmtId="14" fontId="30" fillId="0" borderId="5" xfId="0" applyNumberFormat="1" applyFont="1" applyBorder="1" applyAlignment="1" applyProtection="1">
      <alignment horizontal="center" vertical="center" wrapText="1"/>
      <protection locked="0"/>
    </xf>
    <xf numFmtId="14" fontId="30" fillId="0" borderId="19" xfId="0" applyNumberFormat="1" applyFont="1" applyBorder="1" applyAlignment="1" applyProtection="1">
      <alignment horizontal="center" vertical="center" wrapText="1"/>
      <protection locked="0"/>
    </xf>
    <xf numFmtId="14" fontId="30" fillId="0" borderId="6" xfId="0" applyNumberFormat="1" applyFont="1" applyBorder="1" applyAlignment="1" applyProtection="1">
      <alignment horizontal="center" vertical="center" wrapText="1"/>
      <protection locked="0"/>
    </xf>
    <xf numFmtId="0" fontId="22" fillId="0" borderId="68" xfId="0" applyFont="1" applyBorder="1" applyAlignment="1" applyProtection="1">
      <alignment horizontal="center" vertical="center" wrapText="1"/>
    </xf>
    <xf numFmtId="0" fontId="22" fillId="0" borderId="69" xfId="0" applyFont="1" applyBorder="1" applyAlignment="1" applyProtection="1">
      <alignment horizontal="center" vertical="center" wrapText="1"/>
    </xf>
    <xf numFmtId="0" fontId="22" fillId="0" borderId="70" xfId="0" applyFont="1" applyBorder="1" applyAlignment="1" applyProtection="1">
      <alignment horizontal="center" vertical="center" wrapText="1"/>
    </xf>
    <xf numFmtId="0" fontId="22" fillId="0" borderId="81" xfId="0" applyFont="1" applyBorder="1" applyAlignment="1" applyProtection="1">
      <alignment horizontal="center" vertical="center" wrapText="1"/>
    </xf>
    <xf numFmtId="0" fontId="22" fillId="0" borderId="17" xfId="0" applyFont="1" applyBorder="1" applyAlignment="1" applyProtection="1">
      <alignment horizontal="center" vertical="center" wrapText="1"/>
    </xf>
    <xf numFmtId="0" fontId="22" fillId="0" borderId="82" xfId="0" applyFont="1" applyBorder="1" applyAlignment="1" applyProtection="1">
      <alignment horizontal="center" vertical="center" wrapText="1"/>
    </xf>
    <xf numFmtId="0" fontId="22" fillId="0" borderId="64" xfId="0" applyFont="1" applyBorder="1" applyAlignment="1" applyProtection="1">
      <alignment horizontal="center" vertical="center" wrapText="1"/>
    </xf>
    <xf numFmtId="0" fontId="22" fillId="0" borderId="65" xfId="0" applyFont="1" applyBorder="1" applyAlignment="1" applyProtection="1">
      <alignment horizontal="center" vertical="center" wrapText="1"/>
    </xf>
    <xf numFmtId="0" fontId="22" fillId="0" borderId="66" xfId="0" applyFont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center" vertical="center" wrapText="1"/>
    </xf>
    <xf numFmtId="0" fontId="35" fillId="0" borderId="1" xfId="0" applyFont="1" applyBorder="1" applyAlignment="1" applyProtection="1">
      <alignment horizontal="center" vertical="center" wrapText="1"/>
    </xf>
    <xf numFmtId="0" fontId="35" fillId="0" borderId="20" xfId="0" applyFont="1" applyBorder="1" applyAlignment="1" applyProtection="1">
      <alignment horizontal="center" vertical="center" wrapText="1"/>
    </xf>
    <xf numFmtId="0" fontId="35" fillId="0" borderId="2" xfId="0" applyFont="1" applyBorder="1" applyAlignment="1" applyProtection="1">
      <alignment horizontal="center" vertical="center" wrapText="1"/>
    </xf>
    <xf numFmtId="0" fontId="35" fillId="0" borderId="3" xfId="0" applyFont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horizontal="center" vertical="center" wrapText="1"/>
    </xf>
    <xf numFmtId="0" fontId="35" fillId="0" borderId="4" xfId="0" applyFont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center" vertical="center" wrapText="1"/>
    </xf>
    <xf numFmtId="0" fontId="35" fillId="0" borderId="19" xfId="0" applyFont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center" wrapText="1"/>
    </xf>
    <xf numFmtId="0" fontId="22" fillId="0" borderId="8" xfId="0" applyFont="1" applyBorder="1" applyAlignment="1" applyProtection="1">
      <alignment horizontal="center"/>
    </xf>
    <xf numFmtId="0" fontId="22" fillId="0" borderId="10" xfId="0" applyFont="1" applyBorder="1" applyAlignment="1" applyProtection="1">
      <alignment horizontal="center"/>
    </xf>
    <xf numFmtId="0" fontId="22" fillId="0" borderId="9" xfId="0" applyFont="1" applyBorder="1" applyAlignment="1" applyProtection="1">
      <alignment horizontal="center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5" borderId="10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34" fillId="5" borderId="85" xfId="0" applyFont="1" applyFill="1" applyBorder="1" applyAlignment="1" applyProtection="1">
      <alignment horizontal="left" vertical="center" wrapText="1"/>
      <protection locked="0"/>
    </xf>
    <xf numFmtId="0" fontId="34" fillId="5" borderId="86" xfId="0" applyFont="1" applyFill="1" applyBorder="1" applyAlignment="1" applyProtection="1">
      <alignment horizontal="left" vertical="center" wrapText="1"/>
      <protection locked="0"/>
    </xf>
    <xf numFmtId="0" fontId="30" fillId="5" borderId="85" xfId="0" applyFont="1" applyFill="1" applyBorder="1" applyAlignment="1" applyProtection="1">
      <alignment horizontal="center" vertical="center" wrapText="1"/>
      <protection locked="0"/>
    </xf>
    <xf numFmtId="0" fontId="30" fillId="5" borderId="88" xfId="0" applyFont="1" applyFill="1" applyBorder="1" applyAlignment="1" applyProtection="1">
      <alignment horizontal="center" vertical="center" wrapText="1"/>
      <protection locked="0"/>
    </xf>
    <xf numFmtId="0" fontId="30" fillId="5" borderId="86" xfId="0" applyFont="1" applyFill="1" applyBorder="1" applyAlignment="1" applyProtection="1">
      <alignment horizontal="center" vertical="center" wrapText="1"/>
      <protection locked="0"/>
    </xf>
    <xf numFmtId="0" fontId="33" fillId="0" borderId="68" xfId="0" applyFont="1" applyBorder="1" applyAlignment="1" applyProtection="1">
      <alignment horizontal="center" vertical="center" wrapText="1"/>
    </xf>
    <xf numFmtId="0" fontId="33" fillId="0" borderId="69" xfId="0" applyFont="1" applyBorder="1" applyAlignment="1" applyProtection="1">
      <alignment horizontal="center" vertical="center" wrapText="1"/>
    </xf>
    <xf numFmtId="0" fontId="33" fillId="0" borderId="70" xfId="0" applyFont="1" applyBorder="1" applyAlignment="1" applyProtection="1">
      <alignment horizontal="center" vertical="center" wrapText="1"/>
    </xf>
    <xf numFmtId="0" fontId="33" fillId="0" borderId="81" xfId="0" applyFont="1" applyBorder="1" applyAlignment="1" applyProtection="1">
      <alignment horizontal="center" vertical="center" wrapText="1"/>
    </xf>
    <xf numFmtId="0" fontId="33" fillId="0" borderId="17" xfId="0" applyFont="1" applyBorder="1" applyAlignment="1" applyProtection="1">
      <alignment horizontal="center" vertical="center" wrapText="1"/>
    </xf>
    <xf numFmtId="0" fontId="33" fillId="0" borderId="82" xfId="0" applyFont="1" applyBorder="1" applyAlignment="1" applyProtection="1">
      <alignment horizontal="center" vertical="center" wrapText="1"/>
    </xf>
    <xf numFmtId="0" fontId="33" fillId="0" borderId="64" xfId="0" applyFont="1" applyBorder="1" applyAlignment="1" applyProtection="1">
      <alignment horizontal="center" vertical="center" wrapText="1"/>
    </xf>
    <xf numFmtId="0" fontId="33" fillId="0" borderId="65" xfId="0" applyFont="1" applyBorder="1" applyAlignment="1" applyProtection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</xf>
    <xf numFmtId="0" fontId="22" fillId="0" borderId="83" xfId="0" applyFont="1" applyBorder="1" applyAlignment="1" applyProtection="1">
      <alignment horizontal="center" vertical="center" wrapText="1"/>
    </xf>
    <xf numFmtId="0" fontId="33" fillId="14" borderId="1" xfId="3" applyFont="1" applyBorder="1" applyAlignment="1">
      <alignment horizontal="center" vertical="center" wrapText="1"/>
    </xf>
    <xf numFmtId="0" fontId="33" fillId="14" borderId="20" xfId="3" applyFont="1" applyBorder="1" applyAlignment="1">
      <alignment horizontal="center" vertical="center" wrapText="1"/>
    </xf>
    <xf numFmtId="0" fontId="33" fillId="14" borderId="2" xfId="3" applyFont="1" applyBorder="1" applyAlignment="1">
      <alignment horizontal="center" vertical="center" wrapText="1"/>
    </xf>
    <xf numFmtId="0" fontId="33" fillId="14" borderId="5" xfId="3" applyFont="1" applyBorder="1" applyAlignment="1">
      <alignment horizontal="center" vertical="center" wrapText="1"/>
    </xf>
    <xf numFmtId="0" fontId="33" fillId="14" borderId="19" xfId="3" applyFont="1" applyBorder="1" applyAlignment="1">
      <alignment horizontal="center" vertical="center" wrapText="1"/>
    </xf>
    <xf numFmtId="0" fontId="33" fillId="14" borderId="6" xfId="3" applyFont="1" applyBorder="1" applyAlignment="1">
      <alignment horizontal="center" vertical="center" wrapText="1"/>
    </xf>
    <xf numFmtId="0" fontId="30" fillId="15" borderId="8" xfId="0" applyFont="1" applyFill="1" applyBorder="1" applyAlignment="1" applyProtection="1">
      <alignment horizontal="center" vertical="center" wrapText="1"/>
      <protection locked="0"/>
    </xf>
    <xf numFmtId="0" fontId="30" fillId="15" borderId="10" xfId="0" applyFont="1" applyFill="1" applyBorder="1" applyAlignment="1" applyProtection="1">
      <alignment horizontal="center" vertical="center" wrapText="1"/>
      <protection locked="0"/>
    </xf>
    <xf numFmtId="0" fontId="30" fillId="15" borderId="9" xfId="0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22" fillId="0" borderId="4" xfId="0" applyFont="1" applyBorder="1" applyAlignment="1" applyProtection="1">
      <alignment horizontal="center"/>
    </xf>
    <xf numFmtId="0" fontId="30" fillId="15" borderId="8" xfId="0" applyFont="1" applyFill="1" applyBorder="1" applyAlignment="1" applyProtection="1">
      <alignment horizontal="center" vertical="center" wrapText="1"/>
    </xf>
    <xf numFmtId="0" fontId="22" fillId="15" borderId="10" xfId="0" applyFont="1" applyFill="1" applyBorder="1" applyAlignment="1" applyProtection="1">
      <alignment horizontal="center" vertical="center" wrapText="1"/>
    </xf>
    <xf numFmtId="0" fontId="22" fillId="15" borderId="9" xfId="0" applyFont="1" applyFill="1" applyBorder="1" applyAlignment="1" applyProtection="1">
      <alignment horizontal="center" vertical="center" wrapText="1"/>
    </xf>
    <xf numFmtId="0" fontId="22" fillId="0" borderId="3" xfId="0" applyFont="1" applyBorder="1" applyAlignment="1" applyProtection="1">
      <alignment horizontal="center" vertical="justify" wrapText="1"/>
    </xf>
    <xf numFmtId="0" fontId="22" fillId="0" borderId="0" xfId="0" applyFont="1" applyBorder="1" applyAlignment="1" applyProtection="1">
      <alignment horizontal="center" vertical="justify" wrapText="1"/>
    </xf>
    <xf numFmtId="0" fontId="22" fillId="0" borderId="4" xfId="0" applyFont="1" applyBorder="1" applyAlignment="1" applyProtection="1">
      <alignment horizontal="center" vertical="justify" wrapText="1"/>
    </xf>
    <xf numFmtId="0" fontId="22" fillId="0" borderId="89" xfId="0" applyFont="1" applyBorder="1" applyAlignment="1" applyProtection="1">
      <alignment horizontal="center" vertical="justify" wrapText="1"/>
    </xf>
    <xf numFmtId="0" fontId="22" fillId="0" borderId="83" xfId="0" applyFont="1" applyBorder="1" applyAlignment="1" applyProtection="1">
      <alignment horizontal="center" vertical="justify" wrapText="1"/>
    </xf>
    <xf numFmtId="0" fontId="22" fillId="0" borderId="90" xfId="0" applyFont="1" applyBorder="1" applyAlignment="1" applyProtection="1">
      <alignment horizontal="center" vertical="justify" wrapText="1"/>
    </xf>
  </cellXfs>
  <cellStyles count="4">
    <cellStyle name="Estilo 1" xfId="3"/>
    <cellStyle name="Normal" xfId="0" builtinId="0"/>
    <cellStyle name="Normal 2" xfId="2"/>
    <cellStyle name="Porcentaje" xfId="1" builtinId="5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B0F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00B0F0"/>
      <color rgb="FF00FF00"/>
      <color rgb="FF0070C0"/>
      <color rgb="FFFF33CC"/>
      <color rgb="FF0066FF"/>
      <color rgb="FF0000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de Correlacion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'!$C$175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0477939013199156"/>
                  <c:y val="-0.269041481134286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'!$C$176:$C$180</c:f>
              <c:numCache>
                <c:formatCode>0.00000</c:formatCode>
                <c:ptCount val="5"/>
                <c:pt idx="0">
                  <c:v>0.39019226030253329</c:v>
                </c:pt>
                <c:pt idx="1">
                  <c:v>0.27703790354390129</c:v>
                </c:pt>
                <c:pt idx="2">
                  <c:v>0.61237243569579447</c:v>
                </c:pt>
                <c:pt idx="3">
                  <c:v>0.8152949664709952</c:v>
                </c:pt>
                <c:pt idx="4">
                  <c:v>1.8439088914585775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F9-4E15-96A4-EA090CCA202B}"/>
            </c:ext>
          </c:extLst>
        </c:ser>
        <c:ser>
          <c:idx val="1"/>
          <c:order val="1"/>
          <c:tx>
            <c:strRef>
              <c:f>'HYK '!$D$175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2.0583463443032902E-2"/>
                  <c:y val="-0.21722639424642654"/>
                </c:manualLayout>
              </c:layout>
              <c:numFmt formatCode="General" sourceLinked="0"/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'!$D$176:$D$180</c:f>
              <c:numCache>
                <c:formatCode>0.00000</c:formatCode>
                <c:ptCount val="5"/>
                <c:pt idx="0">
                  <c:v>0.43177926459427607</c:v>
                </c:pt>
                <c:pt idx="1">
                  <c:v>0.30144098372272166</c:v>
                </c:pt>
                <c:pt idx="2">
                  <c:v>0.6454972243679028</c:v>
                </c:pt>
                <c:pt idx="3">
                  <c:v>0.79976600860592095</c:v>
                </c:pt>
                <c:pt idx="4">
                  <c:v>1.8737464945733524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F9-4E15-96A4-EA090CCA2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06048"/>
        <c:axId val="167107584"/>
      </c:scatterChart>
      <c:valAx>
        <c:axId val="16710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107584"/>
        <c:crosses val="autoZero"/>
        <c:crossBetween val="midCat"/>
      </c:valAx>
      <c:valAx>
        <c:axId val="16710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106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sr=0,07804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'!$A$195</c:f>
              <c:strCache>
                <c:ptCount val="1"/>
                <c:pt idx="0">
                  <c:v>sr=0,07804 µm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31396820159577149"/>
                  <c:y val="-0.22017862816394254"/>
                </c:manualLayout>
              </c:layout>
              <c:numFmt formatCode="General" sourceLinked="0"/>
            </c:trendlineLbl>
          </c:trendline>
          <c:xVal>
            <c:numRef>
              <c:f>'HYK '!$B$191:$F$191</c:f>
              <c:numCache>
                <c:formatCode>0.0000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'!$B$195:$F$195</c:f>
              <c:numCache>
                <c:formatCode>0.000000</c:formatCode>
                <c:ptCount val="5"/>
                <c:pt idx="0">
                  <c:v>2.045778020766182</c:v>
                </c:pt>
                <c:pt idx="1">
                  <c:v>5.4353781860142893</c:v>
                </c:pt>
                <c:pt idx="2">
                  <c:v>19.958334114474578</c:v>
                </c:pt>
                <c:pt idx="3">
                  <c:v>42.43731023050352</c:v>
                </c:pt>
                <c:pt idx="4">
                  <c:v>97.769858570963194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2A-4285-9A52-CA5E9B23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381056"/>
        <c:axId val="186382592"/>
      </c:scatterChart>
      <c:valAx>
        <c:axId val="18638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6382592"/>
        <c:crosses val="autoZero"/>
        <c:crossBetween val="midCat"/>
      </c:valAx>
      <c:valAx>
        <c:axId val="1863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638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'!$B$46:$F$46</c:f>
              <c:numCache>
                <c:formatCode>0.00</c:formatCode>
                <c:ptCount val="5"/>
                <c:pt idx="0">
                  <c:v>-1.0816939898006666</c:v>
                </c:pt>
                <c:pt idx="1">
                  <c:v>1.2233586288744867</c:v>
                </c:pt>
                <c:pt idx="2">
                  <c:v>0.14638501094231562</c:v>
                </c:pt>
                <c:pt idx="3">
                  <c:v>-1.2247448713914151</c:v>
                </c:pt>
                <c:pt idx="4">
                  <c:v>0.40575133560025267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2-42CE-A0A6-AE3DCE1E3C30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'!$B$48:$F$48</c:f>
              <c:numCache>
                <c:formatCode>0.00</c:formatCode>
                <c:ptCount val="5"/>
                <c:pt idx="0">
                  <c:v>0.72768504768409747</c:v>
                </c:pt>
                <c:pt idx="1">
                  <c:v>-0.75731724644610676</c:v>
                </c:pt>
                <c:pt idx="2">
                  <c:v>-1.0246950765959597</c:v>
                </c:pt>
                <c:pt idx="3">
                  <c:v>0</c:v>
                </c:pt>
                <c:pt idx="4">
                  <c:v>-1.4877548972013364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2-42CE-A0A6-AE3DCE1E3C30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'!$B$49:$F$49</c:f>
              <c:numCache>
                <c:formatCode>0.00</c:formatCode>
                <c:ptCount val="5"/>
                <c:pt idx="0">
                  <c:v>-0.6096820669785652</c:v>
                </c:pt>
                <c:pt idx="1">
                  <c:v>-0.87382759205318106</c:v>
                </c:pt>
                <c:pt idx="2">
                  <c:v>1.3174650984805079</c:v>
                </c:pt>
                <c:pt idx="3">
                  <c:v>0</c:v>
                </c:pt>
                <c:pt idx="4">
                  <c:v>0.67625222600052359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B2-42CE-A0A6-AE3DCE1E3C30}"/>
            </c:ext>
          </c:extLst>
        </c:ser>
        <c:ser>
          <c:idx val="8"/>
          <c:order val="7"/>
          <c:tx>
            <c:v>M2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'!$B$47:$F$47</c:f>
              <c:numCache>
                <c:formatCode>0.00</c:formatCode>
                <c:ptCount val="5"/>
                <c:pt idx="0">
                  <c:v>0.96369100909516225</c:v>
                </c:pt>
                <c:pt idx="1">
                  <c:v>0.40778620962480128</c:v>
                </c:pt>
                <c:pt idx="2">
                  <c:v>-0.43915503282686369</c:v>
                </c:pt>
                <c:pt idx="3">
                  <c:v>1.2247448713917632</c:v>
                </c:pt>
                <c:pt idx="4">
                  <c:v>0.40575133560025267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768832"/>
        <c:axId val="187770368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'!$J$46:$J$50</c:f>
              <c:numCache>
                <c:formatCode>General</c:formatCode>
                <c:ptCount val="5"/>
                <c:pt idx="0">
                  <c:v>1.49</c:v>
                </c:pt>
                <c:pt idx="1">
                  <c:v>1.49</c:v>
                </c:pt>
                <c:pt idx="2">
                  <c:v>1.49</c:v>
                </c:pt>
                <c:pt idx="3">
                  <c:v>1.49</c:v>
                </c:pt>
                <c:pt idx="4">
                  <c:v>1.49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CB2-42CE-A0A6-AE3DCE1E3C30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'!$K$46:$K$50</c:f>
              <c:numCache>
                <c:formatCode>General</c:formatCode>
                <c:ptCount val="5"/>
                <c:pt idx="0">
                  <c:v>1.42</c:v>
                </c:pt>
                <c:pt idx="1">
                  <c:v>1.42</c:v>
                </c:pt>
                <c:pt idx="2">
                  <c:v>1.42</c:v>
                </c:pt>
                <c:pt idx="3">
                  <c:v>1.42</c:v>
                </c:pt>
                <c:pt idx="4">
                  <c:v>1.42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CB2-42CE-A0A6-AE3DCE1E3C30}"/>
            </c:ext>
          </c:extLst>
        </c:ser>
        <c:ser>
          <c:idx val="6"/>
          <c:order val="5"/>
          <c:tx>
            <c:strRef>
              <c:f>'HYK '!$L$45</c:f>
              <c:strCache>
                <c:ptCount val="1"/>
                <c:pt idx="0">
                  <c:v>Negativo 1%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'!$L$46:$L$50</c:f>
              <c:numCache>
                <c:formatCode>General</c:formatCode>
                <c:ptCount val="5"/>
                <c:pt idx="0">
                  <c:v>-1.49</c:v>
                </c:pt>
                <c:pt idx="1">
                  <c:v>-1.49</c:v>
                </c:pt>
                <c:pt idx="2">
                  <c:v>-1.49</c:v>
                </c:pt>
                <c:pt idx="3">
                  <c:v>-1.49</c:v>
                </c:pt>
                <c:pt idx="4">
                  <c:v>-1.49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CB2-42CE-A0A6-AE3DCE1E3C30}"/>
            </c:ext>
          </c:extLst>
        </c:ser>
        <c:ser>
          <c:idx val="7"/>
          <c:order val="6"/>
          <c:tx>
            <c:strRef>
              <c:f>'HYK '!$M$45</c:f>
              <c:strCache>
                <c:ptCount val="1"/>
                <c:pt idx="0">
                  <c:v>Negativo 5%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'!$M$46:$M$50</c:f>
              <c:numCache>
                <c:formatCode>General</c:formatCode>
                <c:ptCount val="5"/>
                <c:pt idx="0">
                  <c:v>-1.42</c:v>
                </c:pt>
                <c:pt idx="1">
                  <c:v>-1.42</c:v>
                </c:pt>
                <c:pt idx="2">
                  <c:v>-1.42</c:v>
                </c:pt>
                <c:pt idx="3">
                  <c:v>-1.42</c:v>
                </c:pt>
                <c:pt idx="4">
                  <c:v>-1.42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68832"/>
        <c:axId val="187770368"/>
      </c:lineChart>
      <c:catAx>
        <c:axId val="1877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70368"/>
        <c:crosses val="autoZero"/>
        <c:auto val="1"/>
        <c:lblAlgn val="ctr"/>
        <c:lblOffset val="100"/>
        <c:noMultiLvlLbl val="0"/>
      </c:catAx>
      <c:valAx>
        <c:axId val="18777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6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'!$B$84:$F$84</c:f>
              <c:numCache>
                <c:formatCode>0.00</c:formatCode>
                <c:ptCount val="5"/>
                <c:pt idx="0">
                  <c:v>0.92008741245647307</c:v>
                </c:pt>
                <c:pt idx="1">
                  <c:v>0.69006555934236391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6.9006555934235418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2-4EAA-84D6-F0576BF444FC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'!$B$86:$F$86</c:f>
              <c:numCache>
                <c:formatCode>0.00</c:formatCode>
                <c:ptCount val="5"/>
                <c:pt idx="0">
                  <c:v>1.4951420452417681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2.3002185311411805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72-4EAA-84D6-F0576BF444FC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'!$B$87:$F$87</c:f>
              <c:numCache>
                <c:formatCode>0.00</c:formatCode>
                <c:ptCount val="5"/>
                <c:pt idx="0">
                  <c:v>0.92008741245647307</c:v>
                </c:pt>
                <c:pt idx="1">
                  <c:v>1.3801311186847118</c:v>
                </c:pt>
                <c:pt idx="2">
                  <c:v>2.3002185311411805</c:v>
                </c:pt>
                <c:pt idx="3">
                  <c:v>3.4503277967117709</c:v>
                </c:pt>
                <c:pt idx="4">
                  <c:v>0.60043706228236093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72-4EAA-84D6-F0576BF444FC}"/>
            </c:ext>
          </c:extLst>
        </c:ser>
        <c:ser>
          <c:idx val="6"/>
          <c:order val="5"/>
          <c:tx>
            <c:v>M2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'HYK '!$B$85:$F$85</c:f>
              <c:numCache>
                <c:formatCode>0.00</c:formatCode>
                <c:ptCount val="5"/>
                <c:pt idx="0">
                  <c:v>1.0350983390135298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4.6004370622823609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815808"/>
        <c:axId val="187817344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'HYK '!$J$84:$J$88</c:f>
              <c:numCache>
                <c:formatCode>General</c:formatCode>
                <c:ptCount val="5"/>
                <c:pt idx="0">
                  <c:v>1.55</c:v>
                </c:pt>
                <c:pt idx="1">
                  <c:v>1.55</c:v>
                </c:pt>
                <c:pt idx="2">
                  <c:v>1.55</c:v>
                </c:pt>
                <c:pt idx="3">
                  <c:v>1.55</c:v>
                </c:pt>
                <c:pt idx="4">
                  <c:v>1.55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E72-4EAA-84D6-F0576BF444FC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'HYK '!$K$84:$K$88</c:f>
              <c:numCache>
                <c:formatCode>General</c:formatCode>
                <c:ptCount val="5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15808"/>
        <c:axId val="187817344"/>
      </c:lineChart>
      <c:catAx>
        <c:axId val="1878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817344"/>
        <c:crosses val="autoZero"/>
        <c:auto val="1"/>
        <c:lblAlgn val="ctr"/>
        <c:lblOffset val="100"/>
        <c:noMultiLvlLbl val="0"/>
      </c:catAx>
      <c:valAx>
        <c:axId val="1878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81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80359177012044"/>
          <c:y val="4.9196789093254478E-2"/>
          <c:w val="0.87004645679749715"/>
          <c:h val="0.87982535969963949"/>
        </c:manualLayout>
      </c:layout>
      <c:stockChart>
        <c:ser>
          <c:idx val="1"/>
          <c:order val="0"/>
          <c:tx>
            <c:strRef>
              <c:f>'RT03-F25'!$C$146</c:f>
              <c:strCache>
                <c:ptCount val="1"/>
                <c:pt idx="0">
                  <c:v>Lim Inf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'RT03-F25'!$D$144:$F$144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cat>
          <c:val>
            <c:numRef>
              <c:f>'RT03-F25'!$D$146:$F$146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84-4630-ACB5-4B4B34F1CB5E}"/>
            </c:ext>
          </c:extLst>
        </c:ser>
        <c:ser>
          <c:idx val="2"/>
          <c:order val="1"/>
          <c:tx>
            <c:strRef>
              <c:f>'RT03-F25'!$C$147</c:f>
              <c:strCache>
                <c:ptCount val="1"/>
                <c:pt idx="0">
                  <c:v>Media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12700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errBars>
            <c:errDir val="y"/>
            <c:errBarType val="both"/>
            <c:errValType val="stdErr"/>
            <c:noEndCap val="0"/>
            <c:spPr>
              <a:noFill/>
              <a:ln w="25400" cap="flat" cmpd="sng" algn="ctr">
                <a:solidFill>
                  <a:srgbClr val="00FF00"/>
                </a:solidFill>
                <a:round/>
              </a:ln>
              <a:effectLst/>
            </c:spPr>
          </c:errBars>
          <c:cat>
            <c:strRef>
              <c:f>'RT03-F25'!$D$144:$F$144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cat>
          <c:val>
            <c:numRef>
              <c:f>'RT03-F25'!$D$147:$F$147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84-4630-ACB5-4B4B34F1CB5E}"/>
            </c:ext>
          </c:extLst>
        </c:ser>
        <c:ser>
          <c:idx val="0"/>
          <c:order val="2"/>
          <c:tx>
            <c:strRef>
              <c:f>'RT03-F25'!$C$145</c:f>
              <c:strCache>
                <c:ptCount val="1"/>
                <c:pt idx="0">
                  <c:v>Lim Sup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'RT03-F25'!$D$144:$F$144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cat>
          <c:val>
            <c:numRef>
              <c:f>'RT03-F25'!$D$145:$F$145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F9-4E3B-B546-69A58E4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95552"/>
        <c:axId val="189497344"/>
      </c:stockChart>
      <c:catAx>
        <c:axId val="18949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497344"/>
        <c:crosses val="autoZero"/>
        <c:auto val="1"/>
        <c:lblAlgn val="ctr"/>
        <c:lblOffset val="100"/>
        <c:noMultiLvlLbl val="0"/>
      </c:catAx>
      <c:valAx>
        <c:axId val="18949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4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277685030606565"/>
          <c:y val="8.822860239294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800240594925635"/>
          <c:y val="7.4548702245552642E-2"/>
          <c:w val="0.7455704286964131"/>
          <c:h val="0.720771332154909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'RT03-F25'!$AF$32:$AJ$32</c:f>
              <c:strCache>
                <c:ptCount val="1"/>
                <c:pt idx="0">
                  <c:v>GRAFICA DE LINEALIDAD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 cap="rnd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25400" cap="rnd">
                <a:solidFill>
                  <a:srgbClr val="00FF00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378379745449934"/>
                  <c:y val="9.98421875115127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'RT03-F25'!$AG$34:$AG$51</c:f>
              <c:numCache>
                <c:formatCode>0.00</c:formatCode>
                <c:ptCount val="18"/>
                <c:pt idx="0">
                  <c:v>-1.8908047235163394</c:v>
                </c:pt>
                <c:pt idx="1">
                  <c:v>-0.87223334744339809</c:v>
                </c:pt>
                <c:pt idx="2">
                  <c:v>-0.77640882973355474</c:v>
                </c:pt>
                <c:pt idx="3">
                  <c:v>-0.76169437976568588</c:v>
                </c:pt>
                <c:pt idx="4">
                  <c:v>-0.68246329570320086</c:v>
                </c:pt>
                <c:pt idx="5">
                  <c:v>-0.66761437642708188</c:v>
                </c:pt>
                <c:pt idx="6">
                  <c:v>-0.65412529800960328</c:v>
                </c:pt>
                <c:pt idx="7">
                  <c:v>-0.60093246343603823</c:v>
                </c:pt>
                <c:pt idx="8">
                  <c:v>-0.398674624015257</c:v>
                </c:pt>
                <c:pt idx="9">
                  <c:v>1.4588129419280449E-2</c:v>
                </c:pt>
                <c:pt idx="10">
                  <c:v>7.369134731561644E-2</c:v>
                </c:pt>
                <c:pt idx="11">
                  <c:v>9.0893605160090374E-2</c:v>
                </c:pt>
                <c:pt idx="12">
                  <c:v>0.10292825486612855</c:v>
                </c:pt>
                <c:pt idx="13">
                  <c:v>0.11344859020027798</c:v>
                </c:pt>
                <c:pt idx="14">
                  <c:v>0.12086927267591818</c:v>
                </c:pt>
                <c:pt idx="15">
                  <c:v>0.13399920156734879</c:v>
                </c:pt>
                <c:pt idx="16">
                  <c:v>0.14174317973811412</c:v>
                </c:pt>
                <c:pt idx="17">
                  <c:v>0.18377289109048434</c:v>
                </c:pt>
              </c:numCache>
            </c:numRef>
          </c:xVal>
          <c:yVal>
            <c:numRef>
              <c:f>'RT03-F25'!$AJ$34:$AJ$51</c:f>
              <c:numCache>
                <c:formatCode>0.000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08-4060-BB8C-9282D726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13120"/>
        <c:axId val="189815040"/>
      </c:scatterChart>
      <c:valAx>
        <c:axId val="18981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 ordenados</a:t>
                </a:r>
              </a:p>
            </c:rich>
          </c:tx>
          <c:layout>
            <c:manualLayout>
              <c:xMode val="edge"/>
              <c:yMode val="edge"/>
              <c:x val="1.3092687287210268E-4"/>
              <c:y val="0.9208920562097715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815040"/>
        <c:crosses val="autoZero"/>
        <c:crossBetween val="midCat"/>
      </c:valAx>
      <c:valAx>
        <c:axId val="1898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813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M1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'RT03-F25'!$K$59:$K$63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'RT03-F25'!$R$59:$R$63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50-43E5-8544-2FEB5F1C532B}"/>
            </c:ext>
          </c:extLst>
        </c:ser>
        <c:ser>
          <c:idx val="1"/>
          <c:order val="1"/>
          <c:tx>
            <c:v>M2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'RT03-F25'!$L$59:$L$63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'RT03-F25'!$S$59:$S$63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50-43E5-8544-2FEB5F1C532B}"/>
            </c:ext>
          </c:extLst>
        </c:ser>
        <c:ser>
          <c:idx val="3"/>
          <c:order val="2"/>
          <c:tx>
            <c:v>M3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'RT03-F25'!$M$59:$M$63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'RT03-F25'!$T$59:$T$63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50-43E5-8544-2FEB5F1C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600896"/>
        <c:axId val="189602816"/>
      </c:scatterChart>
      <c:valAx>
        <c:axId val="18960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VALORES PREVISTOS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02816"/>
        <c:crosses val="autoZero"/>
        <c:crossBetween val="midCat"/>
      </c:valAx>
      <c:valAx>
        <c:axId val="18960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00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3.xml"/><Relationship Id="rId18" Type="http://schemas.openxmlformats.org/officeDocument/2006/relationships/image" Target="../media/image14.emf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0.emf"/><Relationship Id="rId17" Type="http://schemas.openxmlformats.org/officeDocument/2006/relationships/image" Target="../media/image13.emf"/><Relationship Id="rId2" Type="http://schemas.openxmlformats.org/officeDocument/2006/relationships/image" Target="../media/image2.emf"/><Relationship Id="rId16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10" Type="http://schemas.openxmlformats.org/officeDocument/2006/relationships/chart" Target="../charts/chart2.xml"/><Relationship Id="rId19" Type="http://schemas.openxmlformats.org/officeDocument/2006/relationships/image" Target="../media/image15.png"/><Relationship Id="rId4" Type="http://schemas.openxmlformats.org/officeDocument/2006/relationships/chart" Target="../charts/chart1.xml"/><Relationship Id="rId9" Type="http://schemas.openxmlformats.org/officeDocument/2006/relationships/image" Target="../media/image8.png"/><Relationship Id="rId1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chart" Target="../charts/chart5.xml"/><Relationship Id="rId18" Type="http://schemas.openxmlformats.org/officeDocument/2006/relationships/chart" Target="../charts/chart7.xml"/><Relationship Id="rId3" Type="http://schemas.openxmlformats.org/officeDocument/2006/relationships/image" Target="../media/image18.png"/><Relationship Id="rId21" Type="http://schemas.openxmlformats.org/officeDocument/2006/relationships/image" Target="file:///\\Abeltran\publico\Logo%20completo.gif" TargetMode="External"/><Relationship Id="rId7" Type="http://schemas.openxmlformats.org/officeDocument/2006/relationships/image" Target="../media/image21.png"/><Relationship Id="rId12" Type="http://schemas.microsoft.com/office/2007/relationships/hdphoto" Target="../media/hdphoto4.wdp"/><Relationship Id="rId17" Type="http://schemas.openxmlformats.org/officeDocument/2006/relationships/image" Target="../media/image26.png"/><Relationship Id="rId2" Type="http://schemas.openxmlformats.org/officeDocument/2006/relationships/image" Target="../media/image17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23.png"/><Relationship Id="rId5" Type="http://schemas.openxmlformats.org/officeDocument/2006/relationships/image" Target="../media/image19.png"/><Relationship Id="rId15" Type="http://schemas.openxmlformats.org/officeDocument/2006/relationships/image" Target="../media/image24.png"/><Relationship Id="rId10" Type="http://schemas.microsoft.com/office/2007/relationships/hdphoto" Target="../media/hdphoto3.wdp"/><Relationship Id="rId19" Type="http://schemas.openxmlformats.org/officeDocument/2006/relationships/image" Target="../media/image27.png"/><Relationship Id="rId4" Type="http://schemas.microsoft.com/office/2007/relationships/hdphoto" Target="../media/hdphoto1.wdp"/><Relationship Id="rId9" Type="http://schemas.openxmlformats.org/officeDocument/2006/relationships/image" Target="../media/image22.png"/><Relationship Id="rId1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725143</xdr:colOff>
      <xdr:row>34</xdr:row>
      <xdr:rowOff>159855</xdr:rowOff>
    </xdr:from>
    <xdr:to>
      <xdr:col>11</xdr:col>
      <xdr:colOff>184704</xdr:colOff>
      <xdr:row>41</xdr:row>
      <xdr:rowOff>150331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253" t="55997" r="20634" b="25902"/>
        <a:stretch/>
      </xdr:blipFill>
      <xdr:spPr>
        <a:xfrm>
          <a:off x="5478118" y="6065355"/>
          <a:ext cx="3269561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78</xdr:row>
      <xdr:rowOff>9525</xdr:rowOff>
    </xdr:from>
    <xdr:to>
      <xdr:col>0</xdr:col>
      <xdr:colOff>762000</xdr:colOff>
      <xdr:row>80</xdr:row>
      <xdr:rowOff>103584</xdr:rowOff>
    </xdr:to>
    <xdr:pic>
      <xdr:nvPicPr>
        <xdr:cNvPr id="3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56" t="3457" r="36271" b="55473"/>
        <a:stretch/>
      </xdr:blipFill>
      <xdr:spPr bwMode="auto">
        <a:xfrm>
          <a:off x="219075" y="14801850"/>
          <a:ext cx="542925" cy="47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221017</xdr:colOff>
      <xdr:row>70</xdr:row>
      <xdr:rowOff>118123</xdr:rowOff>
    </xdr:from>
    <xdr:to>
      <xdr:col>12</xdr:col>
      <xdr:colOff>440092</xdr:colOff>
      <xdr:row>77</xdr:row>
      <xdr:rowOff>14940</xdr:rowOff>
    </xdr:to>
    <xdr:pic>
      <xdr:nvPicPr>
        <xdr:cNvPr id="4" name="Imagen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4106" t="70842" r="32496" b="11708"/>
        <a:stretch/>
      </xdr:blipFill>
      <xdr:spPr>
        <a:xfrm>
          <a:off x="8021992" y="13148323"/>
          <a:ext cx="1743075" cy="1277942"/>
        </a:xfrm>
        <a:prstGeom prst="rect">
          <a:avLst/>
        </a:prstGeom>
      </xdr:spPr>
    </xdr:pic>
    <xdr:clientData/>
  </xdr:twoCellAnchor>
  <xdr:twoCellAnchor>
    <xdr:from>
      <xdr:col>5</xdr:col>
      <xdr:colOff>338666</xdr:colOff>
      <xdr:row>174</xdr:row>
      <xdr:rowOff>10583</xdr:rowOff>
    </xdr:from>
    <xdr:to>
      <xdr:col>14</xdr:col>
      <xdr:colOff>805650</xdr:colOff>
      <xdr:row>183</xdr:row>
      <xdr:rowOff>172204</xdr:rowOff>
    </xdr:to>
    <xdr:graphicFrame macro="">
      <xdr:nvGraphicFramePr>
        <xdr:cNvPr id="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304407</xdr:colOff>
      <xdr:row>135</xdr:row>
      <xdr:rowOff>107913</xdr:rowOff>
    </xdr:from>
    <xdr:to>
      <xdr:col>8</xdr:col>
      <xdr:colOff>161638</xdr:colOff>
      <xdr:row>138</xdr:row>
      <xdr:rowOff>76675</xdr:rowOff>
    </xdr:to>
    <xdr:pic>
      <xdr:nvPicPr>
        <xdr:cNvPr id="6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9914" t="48580" r="36525" b="42022"/>
        <a:stretch/>
      </xdr:blipFill>
      <xdr:spPr>
        <a:xfrm>
          <a:off x="5057382" y="26882688"/>
          <a:ext cx="1381231" cy="540262"/>
        </a:xfrm>
        <a:prstGeom prst="rect">
          <a:avLst/>
        </a:prstGeom>
      </xdr:spPr>
    </xdr:pic>
    <xdr:clientData/>
  </xdr:twoCellAnchor>
  <xdr:twoCellAnchor editAs="oneCell">
    <xdr:from>
      <xdr:col>6</xdr:col>
      <xdr:colOff>369217</xdr:colOff>
      <xdr:row>142</xdr:row>
      <xdr:rowOff>147294</xdr:rowOff>
    </xdr:from>
    <xdr:to>
      <xdr:col>8</xdr:col>
      <xdr:colOff>206211</xdr:colOff>
      <xdr:row>144</xdr:row>
      <xdr:rowOff>161036</xdr:rowOff>
    </xdr:to>
    <xdr:pic>
      <xdr:nvPicPr>
        <xdr:cNvPr id="7" name="13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9659" t="47447" r="33151" b="43721"/>
        <a:stretch/>
      </xdr:blipFill>
      <xdr:spPr>
        <a:xfrm>
          <a:off x="5122192" y="28446069"/>
          <a:ext cx="1360994" cy="394742"/>
        </a:xfrm>
        <a:prstGeom prst="rect">
          <a:avLst/>
        </a:prstGeom>
      </xdr:spPr>
    </xdr:pic>
    <xdr:clientData/>
  </xdr:twoCellAnchor>
  <xdr:twoCellAnchor editAs="oneCell">
    <xdr:from>
      <xdr:col>6</xdr:col>
      <xdr:colOff>579356</xdr:colOff>
      <xdr:row>147</xdr:row>
      <xdr:rowOff>137474</xdr:rowOff>
    </xdr:from>
    <xdr:to>
      <xdr:col>8</xdr:col>
      <xdr:colOff>78557</xdr:colOff>
      <xdr:row>149</xdr:row>
      <xdr:rowOff>150976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405" t="68468" r="11915" b="23074"/>
        <a:stretch/>
      </xdr:blipFill>
      <xdr:spPr>
        <a:xfrm>
          <a:off x="5332331" y="29579249"/>
          <a:ext cx="1023201" cy="394502"/>
        </a:xfrm>
        <a:prstGeom prst="rect">
          <a:avLst/>
        </a:prstGeom>
      </xdr:spPr>
    </xdr:pic>
    <xdr:clientData/>
  </xdr:twoCellAnchor>
  <xdr:twoCellAnchor editAs="oneCell">
    <xdr:from>
      <xdr:col>6</xdr:col>
      <xdr:colOff>481161</xdr:colOff>
      <xdr:row>145</xdr:row>
      <xdr:rowOff>71465</xdr:rowOff>
    </xdr:from>
    <xdr:to>
      <xdr:col>7</xdr:col>
      <xdr:colOff>540079</xdr:colOff>
      <xdr:row>147</xdr:row>
      <xdr:rowOff>19094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063" t="54034" r="14067" b="38448"/>
        <a:stretch/>
      </xdr:blipFill>
      <xdr:spPr>
        <a:xfrm>
          <a:off x="5234136" y="29132240"/>
          <a:ext cx="820918" cy="328629"/>
        </a:xfrm>
        <a:prstGeom prst="rect">
          <a:avLst/>
        </a:prstGeom>
      </xdr:spPr>
    </xdr:pic>
    <xdr:clientData/>
  </xdr:twoCellAnchor>
  <xdr:twoCellAnchor editAs="oneCell">
    <xdr:from>
      <xdr:col>6</xdr:col>
      <xdr:colOff>566269</xdr:colOff>
      <xdr:row>150</xdr:row>
      <xdr:rowOff>176753</xdr:rowOff>
    </xdr:from>
    <xdr:to>
      <xdr:col>8</xdr:col>
      <xdr:colOff>648093</xdr:colOff>
      <xdr:row>153</xdr:row>
      <xdr:rowOff>15711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7027" t="52359" r="13726" b="39183"/>
        <a:stretch/>
      </xdr:blipFill>
      <xdr:spPr>
        <a:xfrm>
          <a:off x="5319244" y="30190028"/>
          <a:ext cx="1605824" cy="410458"/>
        </a:xfrm>
        <a:prstGeom prst="rect">
          <a:avLst/>
        </a:prstGeom>
      </xdr:spPr>
    </xdr:pic>
    <xdr:clientData/>
  </xdr:twoCellAnchor>
  <xdr:twoCellAnchor editAs="oneCell">
    <xdr:from>
      <xdr:col>6</xdr:col>
      <xdr:colOff>235674</xdr:colOff>
      <xdr:row>157</xdr:row>
      <xdr:rowOff>58920</xdr:rowOff>
    </xdr:from>
    <xdr:to>
      <xdr:col>9</xdr:col>
      <xdr:colOff>598996</xdr:colOff>
      <xdr:row>160</xdr:row>
      <xdr:rowOff>102388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133" t="60816" r="54560" b="27773"/>
        <a:stretch/>
      </xdr:blipFill>
      <xdr:spPr>
        <a:xfrm>
          <a:off x="4988649" y="31596195"/>
          <a:ext cx="2649322" cy="614968"/>
        </a:xfrm>
        <a:prstGeom prst="rect">
          <a:avLst/>
        </a:prstGeom>
      </xdr:spPr>
    </xdr:pic>
    <xdr:clientData/>
  </xdr:twoCellAnchor>
  <xdr:twoCellAnchor editAs="oneCell">
    <xdr:from>
      <xdr:col>6</xdr:col>
      <xdr:colOff>589176</xdr:colOff>
      <xdr:row>153</xdr:row>
      <xdr:rowOff>0</xdr:rowOff>
    </xdr:from>
    <xdr:to>
      <xdr:col>8</xdr:col>
      <xdr:colOff>294588</xdr:colOff>
      <xdr:row>155</xdr:row>
      <xdr:rowOff>181983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546" t="34970" r="66527" b="52411"/>
        <a:stretch/>
      </xdr:blipFill>
      <xdr:spPr>
        <a:xfrm>
          <a:off x="5342151" y="30720760"/>
          <a:ext cx="1229412" cy="562983"/>
        </a:xfrm>
        <a:prstGeom prst="rect">
          <a:avLst/>
        </a:prstGeom>
      </xdr:spPr>
    </xdr:pic>
    <xdr:clientData/>
  </xdr:twoCellAnchor>
  <xdr:twoCellAnchor>
    <xdr:from>
      <xdr:col>6</xdr:col>
      <xdr:colOff>422243</xdr:colOff>
      <xdr:row>186</xdr:row>
      <xdr:rowOff>9820</xdr:rowOff>
    </xdr:from>
    <xdr:to>
      <xdr:col>15</xdr:col>
      <xdr:colOff>608589</xdr:colOff>
      <xdr:row>194</xdr:row>
      <xdr:rowOff>157113</xdr:rowOff>
    </xdr:to>
    <xdr:graphicFrame macro="">
      <xdr:nvGraphicFramePr>
        <xdr:cNvPr id="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432062</xdr:colOff>
      <xdr:row>21</xdr:row>
      <xdr:rowOff>58917</xdr:rowOff>
    </xdr:from>
    <xdr:to>
      <xdr:col>11</xdr:col>
      <xdr:colOff>228110</xdr:colOff>
      <xdr:row>30</xdr:row>
      <xdr:rowOff>116067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0738" t="53131" r="21513" b="22647"/>
        <a:stretch/>
      </xdr:blipFill>
      <xdr:spPr>
        <a:xfrm>
          <a:off x="5185037" y="3106917"/>
          <a:ext cx="3606048" cy="17716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14</xdr:col>
      <xdr:colOff>818070</xdr:colOff>
      <xdr:row>28</xdr:row>
      <xdr:rowOff>104775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3238500"/>
          <a:ext cx="251352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86609</xdr:rowOff>
    </xdr:from>
    <xdr:to>
      <xdr:col>5</xdr:col>
      <xdr:colOff>575428</xdr:colOff>
      <xdr:row>66</xdr:row>
      <xdr:rowOff>31226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29459</xdr:colOff>
      <xdr:row>90</xdr:row>
      <xdr:rowOff>176753</xdr:rowOff>
    </xdr:from>
    <xdr:to>
      <xdr:col>5</xdr:col>
      <xdr:colOff>604887</xdr:colOff>
      <xdr:row>105</xdr:row>
      <xdr:rowOff>121370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693066</xdr:colOff>
      <xdr:row>202</xdr:row>
      <xdr:rowOff>48216</xdr:rowOff>
    </xdr:from>
    <xdr:to>
      <xdr:col>5</xdr:col>
      <xdr:colOff>374812</xdr:colOff>
      <xdr:row>206</xdr:row>
      <xdr:rowOff>124849</xdr:rowOff>
    </xdr:to>
    <xdr:pic>
      <xdr:nvPicPr>
        <xdr:cNvPr id="18" name="Imagen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041" y="40205616"/>
          <a:ext cx="1205746" cy="92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338666</xdr:colOff>
      <xdr:row>34</xdr:row>
      <xdr:rowOff>55127</xdr:rowOff>
    </xdr:from>
    <xdr:to>
      <xdr:col>15</xdr:col>
      <xdr:colOff>376767</xdr:colOff>
      <xdr:row>39</xdr:row>
      <xdr:rowOff>168276</xdr:rowOff>
    </xdr:to>
    <xdr:pic>
      <xdr:nvPicPr>
        <xdr:cNvPr id="19" name="Imagen 18" descr="Resultado de imagen para formula desviacion estandar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3641" y="5960627"/>
          <a:ext cx="2667001" cy="106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115</xdr:row>
      <xdr:rowOff>42334</xdr:rowOff>
    </xdr:from>
    <xdr:to>
      <xdr:col>1</xdr:col>
      <xdr:colOff>587481</xdr:colOff>
      <xdr:row>115</xdr:row>
      <xdr:rowOff>433917</xdr:rowOff>
    </xdr:to>
    <xdr:pic>
      <xdr:nvPicPr>
        <xdr:cNvPr id="20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1123950" y="2231178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115</xdr:row>
      <xdr:rowOff>25363</xdr:rowOff>
    </xdr:from>
    <xdr:to>
      <xdr:col>2</xdr:col>
      <xdr:colOff>603250</xdr:colOff>
      <xdr:row>115</xdr:row>
      <xdr:rowOff>444500</xdr:rowOff>
    </xdr:to>
    <xdr:pic>
      <xdr:nvPicPr>
        <xdr:cNvPr id="21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2117725" y="2229481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211666</xdr:colOff>
      <xdr:row>115</xdr:row>
      <xdr:rowOff>31750</xdr:rowOff>
    </xdr:from>
    <xdr:to>
      <xdr:col>3</xdr:col>
      <xdr:colOff>513397</xdr:colOff>
      <xdr:row>115</xdr:row>
      <xdr:rowOff>423333</xdr:rowOff>
    </xdr:to>
    <xdr:pic>
      <xdr:nvPicPr>
        <xdr:cNvPr id="22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2678641" y="2230120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115</xdr:row>
      <xdr:rowOff>74084</xdr:rowOff>
    </xdr:from>
    <xdr:to>
      <xdr:col>5</xdr:col>
      <xdr:colOff>619231</xdr:colOff>
      <xdr:row>115</xdr:row>
      <xdr:rowOff>465667</xdr:rowOff>
    </xdr:to>
    <xdr:pic>
      <xdr:nvPicPr>
        <xdr:cNvPr id="23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4308475" y="2234353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7</xdr:col>
      <xdr:colOff>243417</xdr:colOff>
      <xdr:row>115</xdr:row>
      <xdr:rowOff>42333</xdr:rowOff>
    </xdr:from>
    <xdr:to>
      <xdr:col>7</xdr:col>
      <xdr:colOff>545148</xdr:colOff>
      <xdr:row>115</xdr:row>
      <xdr:rowOff>433916</xdr:rowOff>
    </xdr:to>
    <xdr:pic>
      <xdr:nvPicPr>
        <xdr:cNvPr id="24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5758392" y="22311783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9</xdr:col>
      <xdr:colOff>258234</xdr:colOff>
      <xdr:row>115</xdr:row>
      <xdr:rowOff>25400</xdr:rowOff>
    </xdr:from>
    <xdr:to>
      <xdr:col>9</xdr:col>
      <xdr:colOff>559965</xdr:colOff>
      <xdr:row>115</xdr:row>
      <xdr:rowOff>416983</xdr:rowOff>
    </xdr:to>
    <xdr:pic>
      <xdr:nvPicPr>
        <xdr:cNvPr id="25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7297209" y="2229485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4</xdr:col>
      <xdr:colOff>275167</xdr:colOff>
      <xdr:row>115</xdr:row>
      <xdr:rowOff>10583</xdr:rowOff>
    </xdr:from>
    <xdr:to>
      <xdr:col>4</xdr:col>
      <xdr:colOff>465667</xdr:colOff>
      <xdr:row>115</xdr:row>
      <xdr:rowOff>429720</xdr:rowOff>
    </xdr:to>
    <xdr:pic>
      <xdr:nvPicPr>
        <xdr:cNvPr id="26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3504142" y="2228003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264583</xdr:colOff>
      <xdr:row>115</xdr:row>
      <xdr:rowOff>63500</xdr:rowOff>
    </xdr:from>
    <xdr:to>
      <xdr:col>6</xdr:col>
      <xdr:colOff>455083</xdr:colOff>
      <xdr:row>115</xdr:row>
      <xdr:rowOff>482637</xdr:rowOff>
    </xdr:to>
    <xdr:pic>
      <xdr:nvPicPr>
        <xdr:cNvPr id="27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5017558" y="22332950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115</xdr:row>
      <xdr:rowOff>46567</xdr:rowOff>
    </xdr:from>
    <xdr:to>
      <xdr:col>8</xdr:col>
      <xdr:colOff>406400</xdr:colOff>
      <xdr:row>115</xdr:row>
      <xdr:rowOff>465704</xdr:rowOff>
    </xdr:to>
    <xdr:pic>
      <xdr:nvPicPr>
        <xdr:cNvPr id="28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6492875" y="22316017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10</xdr:col>
      <xdr:colOff>262466</xdr:colOff>
      <xdr:row>115</xdr:row>
      <xdr:rowOff>50801</xdr:rowOff>
    </xdr:from>
    <xdr:to>
      <xdr:col>10</xdr:col>
      <xdr:colOff>452966</xdr:colOff>
      <xdr:row>115</xdr:row>
      <xdr:rowOff>469938</xdr:rowOff>
    </xdr:to>
    <xdr:pic>
      <xdr:nvPicPr>
        <xdr:cNvPr id="29" name="11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8063441" y="22320251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677333</xdr:colOff>
      <xdr:row>161</xdr:row>
      <xdr:rowOff>137583</xdr:rowOff>
    </xdr:from>
    <xdr:to>
      <xdr:col>9</xdr:col>
      <xdr:colOff>515408</xdr:colOff>
      <xdr:row>165</xdr:row>
      <xdr:rowOff>103716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308" y="32436858"/>
          <a:ext cx="2124075" cy="72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603251</xdr:colOff>
      <xdr:row>166</xdr:row>
      <xdr:rowOff>127000</xdr:rowOff>
    </xdr:from>
    <xdr:to>
      <xdr:col>11</xdr:col>
      <xdr:colOff>360892</xdr:colOff>
      <xdr:row>169</xdr:row>
      <xdr:rowOff>170391</xdr:rowOff>
    </xdr:to>
    <xdr:pic>
      <xdr:nvPicPr>
        <xdr:cNvPr id="31" name="Imagen 3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226" y="33378775"/>
          <a:ext cx="3567641" cy="614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635001</xdr:colOff>
      <xdr:row>161</xdr:row>
      <xdr:rowOff>42334</xdr:rowOff>
    </xdr:from>
    <xdr:to>
      <xdr:col>12</xdr:col>
      <xdr:colOff>211667</xdr:colOff>
      <xdr:row>164</xdr:row>
      <xdr:rowOff>148167</xdr:rowOff>
    </xdr:to>
    <xdr:pic>
      <xdr:nvPicPr>
        <xdr:cNvPr id="32" name="Imagen 31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42467" t="48957" r="43622" b="42612"/>
        <a:stretch/>
      </xdr:blipFill>
      <xdr:spPr>
        <a:xfrm>
          <a:off x="7672918" y="31157334"/>
          <a:ext cx="1862666" cy="677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253434</xdr:colOff>
      <xdr:row>14</xdr:row>
      <xdr:rowOff>136753</xdr:rowOff>
    </xdr:from>
    <xdr:ext cx="5289789" cy="2843211"/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34" y="966789"/>
          <a:ext cx="5289789" cy="284321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302079</xdr:colOff>
      <xdr:row>14</xdr:row>
      <xdr:rowOff>62591</xdr:rowOff>
    </xdr:from>
    <xdr:ext cx="5208813" cy="2964857"/>
    <xdr:pic>
      <xdr:nvPicPr>
        <xdr:cNvPr id="6" name="6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69"/>
        <a:stretch/>
      </xdr:blipFill>
      <xdr:spPr bwMode="auto">
        <a:xfrm>
          <a:off x="6751865" y="892627"/>
          <a:ext cx="5208813" cy="296485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334736</xdr:colOff>
      <xdr:row>132</xdr:row>
      <xdr:rowOff>4080</xdr:rowOff>
    </xdr:from>
    <xdr:ext cx="2754086" cy="1819277"/>
    <xdr:pic>
      <xdr:nvPicPr>
        <xdr:cNvPr id="7" name="7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4800"/>
        <a:stretch/>
      </xdr:blipFill>
      <xdr:spPr bwMode="auto">
        <a:xfrm>
          <a:off x="1858736" y="27136723"/>
          <a:ext cx="2754086" cy="181927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355147</xdr:colOff>
      <xdr:row>133</xdr:row>
      <xdr:rowOff>19050</xdr:rowOff>
    </xdr:from>
    <xdr:ext cx="3783346" cy="1028699"/>
    <xdr:pic>
      <xdr:nvPicPr>
        <xdr:cNvPr id="8" name="9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69"/>
        <a:stretch/>
      </xdr:blipFill>
      <xdr:spPr bwMode="auto">
        <a:xfrm>
          <a:off x="4899933" y="25165050"/>
          <a:ext cx="3783346" cy="10286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525236</xdr:colOff>
      <xdr:row>133</xdr:row>
      <xdr:rowOff>176892</xdr:rowOff>
    </xdr:from>
    <xdr:ext cx="3747408" cy="651486"/>
    <xdr:pic>
      <xdr:nvPicPr>
        <xdr:cNvPr id="10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5022" y="27500035"/>
          <a:ext cx="3747408" cy="65148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122466</xdr:colOff>
      <xdr:row>117</xdr:row>
      <xdr:rowOff>165207</xdr:rowOff>
    </xdr:from>
    <xdr:ext cx="766082" cy="991400"/>
    <xdr:pic>
      <xdr:nvPicPr>
        <xdr:cNvPr id="11" name="6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5900"/>
                  </a14:imgEffect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525" t="41200" r="31571" b="50000"/>
        <a:stretch/>
      </xdr:blipFill>
      <xdr:spPr bwMode="auto">
        <a:xfrm>
          <a:off x="8694966" y="23691957"/>
          <a:ext cx="766082" cy="9914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219074</xdr:colOff>
      <xdr:row>170</xdr:row>
      <xdr:rowOff>130627</xdr:rowOff>
    </xdr:from>
    <xdr:to>
      <xdr:col>34</xdr:col>
      <xdr:colOff>250069</xdr:colOff>
      <xdr:row>175</xdr:row>
      <xdr:rowOff>85722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849" y="38992627"/>
          <a:ext cx="3840995" cy="119334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352425</xdr:colOff>
      <xdr:row>164</xdr:row>
      <xdr:rowOff>352425</xdr:rowOff>
    </xdr:from>
    <xdr:to>
      <xdr:col>34</xdr:col>
      <xdr:colOff>180975</xdr:colOff>
      <xdr:row>167</xdr:row>
      <xdr:rowOff>28575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Rectángulo 13"/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80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CO" sz="800" i="0">
                        <a:latin typeface="Cambria Math" panose="02040503050406030204" pitchFamily="18" charset="0"/>
                      </a:rPr>
                      <m:t>"=</m:t>
                    </m:r>
                    <m:f>
                      <m:fPr>
                        <m:ctrlPr>
                          <a:rPr lang="es-CO" sz="800" i="1">
                            <a:latin typeface="Cambria Math"/>
                          </a:rPr>
                        </m:ctrlPr>
                      </m:fPr>
                      <m:num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12</m:t>
                            </m:r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d>
                              <m:d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s-CO" sz="800" b="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45</m:t>
                                </m:r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+1</m:t>
                                </m:r>
                              </m:e>
                            </m:d>
                          </m:den>
                        </m:f>
                        <m:r>
                          <a:rPr lang="es-CO" sz="8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330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397,5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307,5</m:t>
                                </m:r>
                              </m:e>
                              <m:sup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m:rPr>
                            <m:nor/>
                          </m:rPr>
                          <a:rPr lang="es-CO" sz="800" kern="120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  <m:r>
                          <a:rPr lang="es-CO" sz="800" i="0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−3</m:t>
                        </m:r>
                        <m:d>
                          <m:d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+1</m:t>
                            </m:r>
                          </m:e>
                        </m:d>
                      </m:num>
                      <m:den>
                        <m:r>
                          <a:rPr lang="es-CO" sz="800" i="0">
                            <a:latin typeface="Cambria Math" panose="02040503050406030204" pitchFamily="18" charset="0"/>
                          </a:rPr>
                          <m:t>1−</m:t>
                        </m:r>
                        <m:f>
                          <m:fPr>
                            <m:ctrlPr>
                              <a:rPr lang="es-CO" sz="800" i="1">
                                <a:latin typeface="Cambria Math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(29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9)+(</m:t>
                            </m:r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16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16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CO" sz="800" i="1">
                                    <a:latin typeface="Cambria Math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>
                                    <a:latin typeface="Cambria Math" panose="02040503050406030204" pitchFamily="18" charset="0"/>
                                  </a:rPr>
                                  <m:t>45</m:t>
                                </m:r>
                              </m:e>
                              <m:sup>
                                <m:r>
                                  <a:rPr lang="es-CO" sz="800" i="0">
                                    <a:latin typeface="Cambria Math" panose="02040503050406030204" pitchFamily="18" charset="0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CO" sz="800" b="0" i="1">
                                <a:latin typeface="Cambria Math" panose="02040503050406030204" pitchFamily="18" charset="0"/>
                              </a:rPr>
                              <m:t>45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es-CO" sz="800"/>
            </a:p>
          </xdr:txBody>
        </xdr:sp>
      </mc:Choice>
      <mc:Fallback xmlns="">
        <xdr:sp macro="" textlink="">
          <xdr:nvSpPr>
            <xdr:cNvPr id="14" name="Rectángulo 13"/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CO" sz="800" i="0">
                  <a:latin typeface="Cambria Math" panose="02040503050406030204" pitchFamily="18" charset="0"/>
                </a:rPr>
                <a:t>𝐻"=(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45(45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 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[〖330〗^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397,5〗^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307,5〗^2/15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]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−3(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+1))/(</a:t>
              </a:r>
              <a:r>
                <a:rPr lang="es-CO" sz="800" i="0">
                  <a:latin typeface="Cambria Math" panose="02040503050406030204" pitchFamily="18" charset="0"/>
                </a:rPr>
                <a:t>1−(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(29〗^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29)+(〖16〗^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16))/(〖</a:t>
              </a:r>
              <a:r>
                <a:rPr lang="es-CO" sz="800" b="0" i="0">
                  <a:latin typeface="Cambria Math" panose="02040503050406030204" pitchFamily="18" charset="0"/>
                </a:rPr>
                <a:t>45〗^</a:t>
              </a:r>
              <a:r>
                <a:rPr lang="es-CO" sz="800" i="0">
                  <a:latin typeface="Cambria Math" panose="02040503050406030204" pitchFamily="18" charset="0"/>
                </a:rPr>
                <a:t>3−</a:t>
              </a:r>
              <a:r>
                <a:rPr lang="es-CO" sz="800" b="0" i="0">
                  <a:latin typeface="Cambria Math" panose="02040503050406030204" pitchFamily="18" charset="0"/>
                </a:rPr>
                <a:t>45))</a:t>
              </a:r>
              <a:endParaRPr lang="es-CO" sz="800"/>
            </a:p>
          </xdr:txBody>
        </xdr:sp>
      </mc:Fallback>
    </mc:AlternateContent>
    <xdr:clientData/>
  </xdr:twoCellAnchor>
  <xdr:oneCellAnchor>
    <xdr:from>
      <xdr:col>30</xdr:col>
      <xdr:colOff>397329</xdr:colOff>
      <xdr:row>179</xdr:row>
      <xdr:rowOff>119743</xdr:rowOff>
    </xdr:from>
    <xdr:ext cx="2407445" cy="1042995"/>
    <xdr:pic>
      <xdr:nvPicPr>
        <xdr:cNvPr id="15" name="3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7104" y="41210593"/>
          <a:ext cx="2407445" cy="104299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22</xdr:col>
      <xdr:colOff>97971</xdr:colOff>
      <xdr:row>135</xdr:row>
      <xdr:rowOff>142875</xdr:rowOff>
    </xdr:from>
    <xdr:to>
      <xdr:col>32</xdr:col>
      <xdr:colOff>47625</xdr:colOff>
      <xdr:row>151</xdr:row>
      <xdr:rowOff>73479</xdr:rowOff>
    </xdr:to>
    <xdr:graphicFrame macro="">
      <xdr:nvGraphicFramePr>
        <xdr:cNvPr id="1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42331</xdr:colOff>
      <xdr:row>69</xdr:row>
      <xdr:rowOff>140760</xdr:rowOff>
    </xdr:from>
    <xdr:to>
      <xdr:col>32</xdr:col>
      <xdr:colOff>47625</xdr:colOff>
      <xdr:row>84</xdr:row>
      <xdr:rowOff>142875</xdr:rowOff>
    </xdr:to>
    <xdr:graphicFrame macro="">
      <xdr:nvGraphicFramePr>
        <xdr:cNvPr id="17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66675</xdr:colOff>
      <xdr:row>201</xdr:row>
      <xdr:rowOff>152400</xdr:rowOff>
    </xdr:from>
    <xdr:to>
      <xdr:col>4</xdr:col>
      <xdr:colOff>242176</xdr:colOff>
      <xdr:row>208</xdr:row>
      <xdr:rowOff>37204</xdr:rowOff>
    </xdr:to>
    <xdr:pic>
      <xdr:nvPicPr>
        <xdr:cNvPr id="18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470600"/>
          <a:ext cx="2090026" cy="122888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202</xdr:row>
      <xdr:rowOff>114300</xdr:rowOff>
    </xdr:from>
    <xdr:to>
      <xdr:col>12</xdr:col>
      <xdr:colOff>608919</xdr:colOff>
      <xdr:row>206</xdr:row>
      <xdr:rowOff>25983</xdr:rowOff>
    </xdr:to>
    <xdr:pic>
      <xdr:nvPicPr>
        <xdr:cNvPr id="19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1623000"/>
          <a:ext cx="3773940" cy="6736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357717</xdr:colOff>
      <xdr:row>202</xdr:row>
      <xdr:rowOff>1046</xdr:rowOff>
    </xdr:from>
    <xdr:to>
      <xdr:col>16</xdr:col>
      <xdr:colOff>560917</xdr:colOff>
      <xdr:row>206</xdr:row>
      <xdr:rowOff>79040</xdr:rowOff>
    </xdr:to>
    <xdr:pic>
      <xdr:nvPicPr>
        <xdr:cNvPr id="20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1634" y="46472463"/>
          <a:ext cx="1769533" cy="83999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1081012</xdr:colOff>
      <xdr:row>201</xdr:row>
      <xdr:rowOff>47625</xdr:rowOff>
    </xdr:from>
    <xdr:to>
      <xdr:col>31</xdr:col>
      <xdr:colOff>571500</xdr:colOff>
      <xdr:row>219</xdr:row>
      <xdr:rowOff>47625</xdr:rowOff>
    </xdr:to>
    <xdr:graphicFrame macro="">
      <xdr:nvGraphicFramePr>
        <xdr:cNvPr id="21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10</xdr:col>
      <xdr:colOff>435429</xdr:colOff>
      <xdr:row>80</xdr:row>
      <xdr:rowOff>272144</xdr:rowOff>
    </xdr:from>
    <xdr:ext cx="1514475" cy="505765"/>
    <xdr:pic>
      <xdr:nvPicPr>
        <xdr:cNvPr id="22" name="3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9007929" y="15348858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523875</xdr:colOff>
      <xdr:row>80</xdr:row>
      <xdr:rowOff>309563</xdr:rowOff>
    </xdr:from>
    <xdr:ext cx="1514475" cy="505765"/>
    <xdr:pic>
      <xdr:nvPicPr>
        <xdr:cNvPr id="24" name="3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3167063" y="16335376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357188</xdr:colOff>
      <xdr:row>80</xdr:row>
      <xdr:rowOff>285750</xdr:rowOff>
    </xdr:from>
    <xdr:ext cx="1514475" cy="505765"/>
    <xdr:pic>
      <xdr:nvPicPr>
        <xdr:cNvPr id="25" name="3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14739938" y="16311563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590550</xdr:colOff>
      <xdr:row>1</xdr:row>
      <xdr:rowOff>38100</xdr:rowOff>
    </xdr:from>
    <xdr:to>
      <xdr:col>2</xdr:col>
      <xdr:colOff>745035</xdr:colOff>
      <xdr:row>3</xdr:row>
      <xdr:rowOff>176199</xdr:rowOff>
    </xdr:to>
    <xdr:pic>
      <xdr:nvPicPr>
        <xdr:cNvPr id="26" name="Picture 50" descr="\\Abeltran\publico\Logo completo.gif"/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 cstate="print"/>
        <a:srcRect/>
        <a:stretch>
          <a:fillRect/>
        </a:stretch>
      </xdr:blipFill>
      <xdr:spPr bwMode="auto">
        <a:xfrm>
          <a:off x="590550" y="247650"/>
          <a:ext cx="1830885" cy="6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0</xdr:row>
      <xdr:rowOff>61256</xdr:rowOff>
    </xdr:from>
    <xdr:to>
      <xdr:col>2</xdr:col>
      <xdr:colOff>285750</xdr:colOff>
      <xdr:row>2</xdr:row>
      <xdr:rowOff>228600</xdr:rowOff>
    </xdr:to>
    <xdr:pic>
      <xdr:nvPicPr>
        <xdr:cNvPr id="2" name="Picture 50" descr="\\Abeltran\publico\Logo completo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3899" y="61256"/>
          <a:ext cx="1552576" cy="66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3" name="Tabla3" displayName="Tabla3" ref="Z33:Z60" totalsRowShown="0" headerRowDxfId="6" dataDxfId="4" headerRowBorderDxfId="5" tableBorderDxfId="3">
  <autoFilter ref="Z33:Z60"/>
  <sortState ref="Z27:Z53">
    <sortCondition ref="Z26:Z53"/>
  </sortState>
  <tableColumns count="1">
    <tableColumn id="1" name="Residuos ordenados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31"/>
  <sheetViews>
    <sheetView showGridLines="0" zoomScale="90" zoomScaleNormal="90" workbookViewId="0">
      <selection activeCell="A195" sqref="A195"/>
    </sheetView>
  </sheetViews>
  <sheetFormatPr baseColWidth="10" defaultRowHeight="15" x14ac:dyDescent="0.25"/>
  <cols>
    <col min="1" max="1" width="12.5703125" bestFit="1" customWidth="1"/>
    <col min="2" max="2" width="13" bestFit="1" customWidth="1"/>
    <col min="14" max="16" width="14" customWidth="1"/>
    <col min="17" max="23" width="11.42578125" customWidth="1"/>
  </cols>
  <sheetData>
    <row r="1" spans="1:32" x14ac:dyDescent="0.25">
      <c r="A1" t="s">
        <v>86</v>
      </c>
      <c r="C1" s="12">
        <v>6</v>
      </c>
      <c r="D1" t="s">
        <v>8</v>
      </c>
      <c r="E1" s="13" t="s">
        <v>8</v>
      </c>
      <c r="F1" s="14"/>
      <c r="G1" s="14"/>
      <c r="H1" s="14"/>
      <c r="I1" s="14"/>
      <c r="J1" s="14"/>
      <c r="W1" s="14"/>
      <c r="X1" s="14"/>
      <c r="Y1" s="14"/>
      <c r="Z1" s="14"/>
      <c r="AA1" s="14"/>
    </row>
    <row r="2" spans="1:32" x14ac:dyDescent="0.25">
      <c r="A2" t="s">
        <v>87</v>
      </c>
      <c r="C2" s="12">
        <v>5</v>
      </c>
      <c r="D2" t="s">
        <v>9</v>
      </c>
      <c r="E2" s="13" t="s">
        <v>9</v>
      </c>
      <c r="F2" s="14"/>
      <c r="G2" s="14"/>
      <c r="H2" s="14"/>
      <c r="I2" s="14"/>
      <c r="J2" s="14"/>
      <c r="W2" s="14"/>
      <c r="X2" s="14"/>
      <c r="Y2" s="14"/>
      <c r="Z2" s="14"/>
      <c r="AA2" s="14"/>
    </row>
    <row r="3" spans="1:32" x14ac:dyDescent="0.25">
      <c r="A3" t="s">
        <v>63</v>
      </c>
      <c r="C3" s="12">
        <v>5</v>
      </c>
      <c r="D3" t="s">
        <v>10</v>
      </c>
      <c r="E3" s="13" t="s">
        <v>10</v>
      </c>
      <c r="F3" s="14"/>
      <c r="G3" s="14"/>
      <c r="H3" s="14"/>
      <c r="I3" s="14"/>
      <c r="J3" s="14"/>
      <c r="W3" s="14"/>
      <c r="X3" s="14"/>
      <c r="Y3" s="14"/>
      <c r="Z3" s="14"/>
      <c r="AA3" s="14"/>
    </row>
    <row r="4" spans="1:32" x14ac:dyDescent="0.25">
      <c r="D4" t="s">
        <v>66</v>
      </c>
      <c r="E4" s="150" t="s">
        <v>66</v>
      </c>
      <c r="F4" s="14"/>
      <c r="G4" s="14"/>
      <c r="H4" s="14"/>
      <c r="I4" s="14"/>
      <c r="J4" s="14"/>
      <c r="W4" s="14"/>
      <c r="X4" s="14"/>
      <c r="Y4" s="14"/>
      <c r="Z4" s="14"/>
      <c r="AA4" s="14"/>
    </row>
    <row r="5" spans="1:32" x14ac:dyDescent="0.25">
      <c r="D5" s="10"/>
      <c r="E5" s="140"/>
      <c r="F5" s="14"/>
      <c r="G5" s="14"/>
      <c r="H5" s="14"/>
      <c r="I5" s="14"/>
      <c r="J5" s="14"/>
      <c r="W5" s="14"/>
      <c r="X5" s="14"/>
      <c r="Y5" s="14"/>
      <c r="Z5" s="14"/>
      <c r="AA5" s="14"/>
    </row>
    <row r="6" spans="1:32" x14ac:dyDescent="0.25">
      <c r="F6" s="15"/>
      <c r="G6" s="15"/>
      <c r="H6" s="15"/>
      <c r="I6" s="15"/>
      <c r="J6" s="15"/>
      <c r="W6" s="14"/>
      <c r="X6" s="14"/>
      <c r="Y6" s="14"/>
      <c r="Z6" s="14"/>
      <c r="AA6" s="14"/>
    </row>
    <row r="7" spans="1:32" x14ac:dyDescent="0.25">
      <c r="A7" s="513" t="s">
        <v>89</v>
      </c>
      <c r="B7" s="142" t="s">
        <v>90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32" x14ac:dyDescent="0.25">
      <c r="A8" s="514"/>
      <c r="B8" s="72">
        <v>1</v>
      </c>
      <c r="C8" s="73"/>
      <c r="D8" s="73"/>
      <c r="E8" s="73"/>
      <c r="F8" s="74"/>
      <c r="G8" s="72">
        <v>2</v>
      </c>
      <c r="H8" s="73"/>
      <c r="I8" s="73"/>
      <c r="J8" s="73"/>
      <c r="K8" s="74"/>
      <c r="L8" s="72">
        <v>3</v>
      </c>
      <c r="M8" s="73"/>
      <c r="N8" s="73"/>
      <c r="O8" s="73"/>
      <c r="P8" s="74"/>
      <c r="Q8" s="72">
        <v>4</v>
      </c>
      <c r="R8" s="73"/>
      <c r="S8" s="73"/>
      <c r="T8" s="73"/>
      <c r="U8" s="74"/>
      <c r="V8" s="72">
        <v>5</v>
      </c>
      <c r="W8" s="73"/>
      <c r="X8" s="73"/>
      <c r="Y8" s="73"/>
      <c r="Z8" s="74"/>
    </row>
    <row r="9" spans="1:32" x14ac:dyDescent="0.25">
      <c r="A9" s="13" t="s">
        <v>8</v>
      </c>
      <c r="B9" s="5">
        <v>25.8</v>
      </c>
      <c r="C9" s="5">
        <v>26.2</v>
      </c>
      <c r="D9" s="5">
        <v>25.9</v>
      </c>
      <c r="E9" s="5">
        <v>26.3</v>
      </c>
      <c r="F9" s="5">
        <v>25.5</v>
      </c>
      <c r="G9" s="5">
        <v>70.2</v>
      </c>
      <c r="H9" s="5">
        <v>69.900000000000006</v>
      </c>
      <c r="I9" s="5">
        <v>69.8</v>
      </c>
      <c r="J9" s="5">
        <v>69.599999999999994</v>
      </c>
      <c r="K9" s="5">
        <v>69.8</v>
      </c>
      <c r="L9" s="5">
        <v>256</v>
      </c>
      <c r="M9" s="5">
        <v>256</v>
      </c>
      <c r="N9" s="5">
        <v>255</v>
      </c>
      <c r="O9" s="5">
        <v>256</v>
      </c>
      <c r="P9" s="5">
        <v>256</v>
      </c>
      <c r="Q9" s="5">
        <v>544</v>
      </c>
      <c r="R9" s="5">
        <v>543</v>
      </c>
      <c r="S9" s="5">
        <v>543</v>
      </c>
      <c r="T9" s="5">
        <v>543</v>
      </c>
      <c r="U9" s="5">
        <v>544</v>
      </c>
      <c r="V9" s="5">
        <v>1254</v>
      </c>
      <c r="W9" s="5">
        <v>1255</v>
      </c>
      <c r="X9" s="5">
        <v>1253</v>
      </c>
      <c r="Y9" s="5">
        <v>1249</v>
      </c>
      <c r="Z9" s="5">
        <v>1254</v>
      </c>
    </row>
    <row r="10" spans="1:32" x14ac:dyDescent="0.25">
      <c r="A10" s="13" t="s">
        <v>10</v>
      </c>
      <c r="B10" s="5">
        <v>26.5</v>
      </c>
      <c r="C10" s="5">
        <v>26.9</v>
      </c>
      <c r="D10" s="5">
        <v>26</v>
      </c>
      <c r="E10" s="5">
        <v>26.2</v>
      </c>
      <c r="F10" s="5">
        <v>26.7</v>
      </c>
      <c r="G10" s="5">
        <v>69.7</v>
      </c>
      <c r="H10" s="5">
        <v>69.5</v>
      </c>
      <c r="I10" s="5">
        <v>69.8</v>
      </c>
      <c r="J10" s="5">
        <v>69.8</v>
      </c>
      <c r="K10" s="5">
        <v>69.8</v>
      </c>
      <c r="L10" s="5">
        <v>255</v>
      </c>
      <c r="M10" s="5">
        <v>255</v>
      </c>
      <c r="N10" s="5">
        <v>256</v>
      </c>
      <c r="O10" s="5">
        <v>256</v>
      </c>
      <c r="P10" s="5">
        <v>256</v>
      </c>
      <c r="Q10" s="5">
        <v>544</v>
      </c>
      <c r="R10" s="5">
        <v>544</v>
      </c>
      <c r="S10" s="5">
        <v>544</v>
      </c>
      <c r="T10" s="5">
        <v>545</v>
      </c>
      <c r="U10" s="5">
        <v>544</v>
      </c>
      <c r="V10" s="5">
        <v>1254</v>
      </c>
      <c r="W10" s="5">
        <v>1253</v>
      </c>
      <c r="X10" s="5">
        <v>1254</v>
      </c>
      <c r="Y10" s="5">
        <v>1250</v>
      </c>
      <c r="Z10" s="5">
        <v>1254</v>
      </c>
    </row>
    <row r="11" spans="1:32" x14ac:dyDescent="0.25">
      <c r="A11" s="13" t="s">
        <v>66</v>
      </c>
      <c r="B11" s="5">
        <v>25.8</v>
      </c>
      <c r="C11" s="5">
        <v>27.1</v>
      </c>
      <c r="D11" s="5">
        <v>26.5</v>
      </c>
      <c r="E11" s="5">
        <v>26.1</v>
      </c>
      <c r="F11" s="5">
        <v>26.5</v>
      </c>
      <c r="G11" s="5">
        <v>69.599999999999994</v>
      </c>
      <c r="H11" s="5">
        <v>69.400000000000006</v>
      </c>
      <c r="I11" s="5">
        <v>69.5</v>
      </c>
      <c r="J11" s="5">
        <v>69.7</v>
      </c>
      <c r="K11" s="5">
        <v>69.400000000000006</v>
      </c>
      <c r="L11" s="5">
        <v>256</v>
      </c>
      <c r="M11" s="5">
        <v>255</v>
      </c>
      <c r="N11" s="5">
        <v>255</v>
      </c>
      <c r="O11" s="5">
        <v>255</v>
      </c>
      <c r="P11" s="5">
        <v>256</v>
      </c>
      <c r="Q11" s="5">
        <v>544</v>
      </c>
      <c r="R11" s="5">
        <v>544</v>
      </c>
      <c r="S11" s="5">
        <v>543</v>
      </c>
      <c r="T11" s="5">
        <v>544</v>
      </c>
      <c r="U11" s="5">
        <v>544</v>
      </c>
      <c r="V11" s="5">
        <v>1251</v>
      </c>
      <c r="W11" s="5">
        <v>1253</v>
      </c>
      <c r="X11" s="5">
        <v>1251</v>
      </c>
      <c r="Y11" s="5">
        <v>1252</v>
      </c>
      <c r="Z11" s="5">
        <v>1251</v>
      </c>
    </row>
    <row r="12" spans="1:32" x14ac:dyDescent="0.25">
      <c r="A12" s="13" t="s">
        <v>88</v>
      </c>
      <c r="B12" s="5">
        <v>26.4</v>
      </c>
      <c r="C12" s="5">
        <v>25.9</v>
      </c>
      <c r="D12" s="5">
        <v>25.8</v>
      </c>
      <c r="E12" s="5">
        <v>26.5</v>
      </c>
      <c r="F12" s="5">
        <v>25.7</v>
      </c>
      <c r="G12" s="5">
        <v>69.599999999999994</v>
      </c>
      <c r="H12" s="5">
        <v>69.5</v>
      </c>
      <c r="I12" s="5">
        <v>68.7</v>
      </c>
      <c r="J12" s="5">
        <v>69.900000000000006</v>
      </c>
      <c r="K12" s="5">
        <v>69.8</v>
      </c>
      <c r="L12" s="5">
        <v>256</v>
      </c>
      <c r="M12" s="5">
        <v>255</v>
      </c>
      <c r="N12" s="5">
        <v>257</v>
      </c>
      <c r="O12" s="5">
        <v>257</v>
      </c>
      <c r="P12" s="5">
        <v>256</v>
      </c>
      <c r="Q12" s="5">
        <v>545</v>
      </c>
      <c r="R12" s="5">
        <v>542</v>
      </c>
      <c r="S12" s="5">
        <v>543</v>
      </c>
      <c r="T12" s="5">
        <v>544</v>
      </c>
      <c r="U12" s="5">
        <v>545</v>
      </c>
      <c r="V12" s="5">
        <v>1251</v>
      </c>
      <c r="W12" s="5">
        <v>1255</v>
      </c>
      <c r="X12" s="5">
        <v>1251</v>
      </c>
      <c r="Y12" s="5">
        <v>1255</v>
      </c>
      <c r="Z12" s="5">
        <v>1254</v>
      </c>
    </row>
    <row r="13" spans="1:32" x14ac:dyDescent="0.25">
      <c r="A13" s="140"/>
      <c r="B13" s="102"/>
      <c r="C13" s="102"/>
      <c r="D13" s="102"/>
      <c r="E13" s="102"/>
      <c r="F13" s="102"/>
      <c r="G13" s="102"/>
      <c r="H13" s="102"/>
      <c r="I13" s="102"/>
      <c r="J13" s="102"/>
      <c r="K13" s="141"/>
      <c r="L13" s="141"/>
      <c r="M13" s="141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</row>
    <row r="14" spans="1:32" x14ac:dyDescent="0.25">
      <c r="A14" s="140"/>
      <c r="B14" s="102"/>
      <c r="C14" s="102"/>
      <c r="D14" s="102"/>
      <c r="E14" s="102"/>
      <c r="F14" s="102"/>
      <c r="G14" s="102"/>
      <c r="H14" s="102"/>
      <c r="I14" s="102"/>
      <c r="J14" s="102"/>
      <c r="K14" s="141"/>
      <c r="L14" s="141"/>
      <c r="M14" s="141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32" x14ac:dyDescent="0.25">
      <c r="A15" s="140"/>
      <c r="B15" s="102"/>
      <c r="C15" s="102"/>
      <c r="D15" s="102"/>
      <c r="E15" s="102"/>
      <c r="F15" s="102"/>
      <c r="G15" s="102"/>
      <c r="H15" s="102"/>
      <c r="I15" s="102"/>
      <c r="J15" s="102"/>
      <c r="K15" s="141"/>
      <c r="L15" s="141"/>
      <c r="M15" s="141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</row>
    <row r="16" spans="1:32" x14ac:dyDescent="0.25">
      <c r="A16" s="140"/>
      <c r="B16" s="102"/>
      <c r="C16" s="102"/>
      <c r="D16" s="102"/>
      <c r="E16" s="102"/>
      <c r="F16" s="102"/>
      <c r="G16" s="102"/>
      <c r="H16" s="102"/>
      <c r="I16" s="102"/>
      <c r="J16" s="102"/>
      <c r="K16" s="141"/>
      <c r="L16" s="141"/>
      <c r="M16" s="141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</row>
    <row r="17" spans="1:32" x14ac:dyDescent="0.25">
      <c r="A17" s="140"/>
      <c r="B17" s="102"/>
      <c r="C17" s="102"/>
      <c r="D17" s="102"/>
      <c r="E17" s="102"/>
      <c r="F17" s="102"/>
      <c r="G17" s="102"/>
      <c r="H17" s="102"/>
      <c r="I17" s="102"/>
      <c r="J17" s="102"/>
      <c r="K17" s="141"/>
      <c r="L17" s="141"/>
      <c r="M17" s="141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</row>
    <row r="18" spans="1:32" x14ac:dyDescent="0.25">
      <c r="A18" s="140"/>
      <c r="B18" s="102"/>
      <c r="C18" s="102"/>
      <c r="D18" s="102"/>
      <c r="E18" s="102"/>
      <c r="F18" s="102"/>
      <c r="G18" s="102"/>
      <c r="H18" s="102"/>
      <c r="I18" s="102"/>
      <c r="J18" s="102"/>
      <c r="K18" s="141"/>
      <c r="L18" s="141"/>
      <c r="M18" s="141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</row>
    <row r="20" spans="1:32" x14ac:dyDescent="0.25">
      <c r="A20" s="513" t="str">
        <f>+A7</f>
        <v>Metrologo</v>
      </c>
      <c r="B20" s="520" t="s">
        <v>91</v>
      </c>
      <c r="C20" s="521"/>
      <c r="D20" s="521"/>
      <c r="E20" s="521"/>
      <c r="F20" s="521"/>
      <c r="G20" s="16"/>
      <c r="H20" s="17"/>
      <c r="I20" s="17"/>
      <c r="J20" s="9"/>
      <c r="K20" s="11"/>
      <c r="L20" s="11"/>
    </row>
    <row r="21" spans="1:32" x14ac:dyDescent="0.25">
      <c r="A21" s="514"/>
      <c r="B21" s="18">
        <v>1</v>
      </c>
      <c r="C21" s="18">
        <v>2</v>
      </c>
      <c r="D21" s="18">
        <v>3</v>
      </c>
      <c r="E21" s="18">
        <v>4</v>
      </c>
      <c r="F21" s="18">
        <v>5</v>
      </c>
      <c r="G21" s="19"/>
      <c r="H21" s="20"/>
      <c r="I21" s="21"/>
      <c r="J21" s="22"/>
      <c r="K21" s="23"/>
      <c r="L21" s="23"/>
      <c r="M21" s="23"/>
      <c r="N21" s="23"/>
      <c r="O21" s="23"/>
      <c r="P21" s="23"/>
      <c r="Q21" s="23"/>
      <c r="R21" s="23"/>
    </row>
    <row r="22" spans="1:32" x14ac:dyDescent="0.25">
      <c r="A22" s="13" t="str">
        <f>+A9</f>
        <v>M1</v>
      </c>
      <c r="B22" s="24">
        <f>AVERAGE(B9:F9)</f>
        <v>25.939999999999998</v>
      </c>
      <c r="C22" s="24">
        <f>AVERAGE(G9:K9)</f>
        <v>69.86</v>
      </c>
      <c r="D22" s="24">
        <f>AVERAGE(L9:P9)</f>
        <v>255.8</v>
      </c>
      <c r="E22" s="24">
        <f>AVERAGE(Q9:U9)</f>
        <v>543.4</v>
      </c>
      <c r="F22" s="24">
        <f>AVERAGE(V9:Z9)</f>
        <v>1253</v>
      </c>
      <c r="G22" s="11"/>
      <c r="H22" s="11"/>
    </row>
    <row r="23" spans="1:32" x14ac:dyDescent="0.25">
      <c r="A23" s="13" t="str">
        <f>+A10</f>
        <v>M3</v>
      </c>
      <c r="B23" s="24">
        <f>AVERAGE(B10:F10)</f>
        <v>26.46</v>
      </c>
      <c r="C23" s="24">
        <f>AVERAGE(G10:K10)</f>
        <v>69.72</v>
      </c>
      <c r="D23" s="24">
        <f>AVERAGE(L10:P10)</f>
        <v>255.6</v>
      </c>
      <c r="E23" s="24">
        <f>AVERAGE(Q10:U10)</f>
        <v>544.20000000000005</v>
      </c>
      <c r="F23" s="24">
        <f>AVERAGE(V10:Z10)</f>
        <v>1253</v>
      </c>
      <c r="G23" s="11"/>
      <c r="H23" s="11"/>
    </row>
    <row r="24" spans="1:32" x14ac:dyDescent="0.25">
      <c r="A24" s="13" t="str">
        <f>+A11</f>
        <v>M4</v>
      </c>
      <c r="B24" s="24">
        <f>AVERAGE(B11:F11)</f>
        <v>26.4</v>
      </c>
      <c r="C24" s="24">
        <f>AVERAGE(G11:K11)</f>
        <v>69.52000000000001</v>
      </c>
      <c r="D24" s="24">
        <f>AVERAGE(L11:P11)</f>
        <v>255.4</v>
      </c>
      <c r="E24" s="24">
        <f>AVERAGE(Q11:U11)</f>
        <v>543.79999999999995</v>
      </c>
      <c r="F24" s="24">
        <f>AVERAGE(V11:Z11)</f>
        <v>1251.5999999999999</v>
      </c>
      <c r="G24" s="11"/>
      <c r="H24" s="11"/>
    </row>
    <row r="25" spans="1:32" x14ac:dyDescent="0.25">
      <c r="A25" s="13" t="str">
        <f>+A12</f>
        <v>M5</v>
      </c>
      <c r="B25" s="24">
        <f>AVERAGE(B12:F12)</f>
        <v>26.059999999999995</v>
      </c>
      <c r="C25" s="24">
        <f>AVERAGE(G12:K12)</f>
        <v>69.500000000000014</v>
      </c>
      <c r="D25" s="24">
        <f>AVERAGE(L12:P12)</f>
        <v>256.2</v>
      </c>
      <c r="E25" s="24">
        <f>AVERAGE(Q12:U12)</f>
        <v>543.79999999999995</v>
      </c>
      <c r="F25" s="24">
        <f>AVERAGE(V12:Z12)</f>
        <v>1253.2</v>
      </c>
      <c r="G25" s="11"/>
      <c r="H25" s="11"/>
    </row>
    <row r="27" spans="1:32" x14ac:dyDescent="0.25">
      <c r="A27" s="513" t="str">
        <f>+A20</f>
        <v>Metrologo</v>
      </c>
      <c r="B27" s="520" t="s">
        <v>92</v>
      </c>
      <c r="C27" s="521"/>
      <c r="D27" s="521"/>
      <c r="E27" s="521"/>
      <c r="F27" s="521"/>
      <c r="G27" s="8"/>
      <c r="H27" s="9"/>
      <c r="I27" s="9"/>
      <c r="J27" s="9"/>
      <c r="K27" s="11"/>
      <c r="L27" s="11"/>
    </row>
    <row r="28" spans="1:32" x14ac:dyDescent="0.25">
      <c r="A28" s="514"/>
      <c r="B28" s="18">
        <v>1</v>
      </c>
      <c r="C28" s="18">
        <v>2</v>
      </c>
      <c r="D28" s="18">
        <v>3</v>
      </c>
      <c r="E28" s="18">
        <v>4</v>
      </c>
      <c r="F28" s="18">
        <v>5</v>
      </c>
      <c r="G28" s="8"/>
      <c r="H28" s="9"/>
      <c r="I28" s="9"/>
      <c r="J28" s="9"/>
    </row>
    <row r="29" spans="1:32" x14ac:dyDescent="0.25">
      <c r="A29" s="13" t="str">
        <f>+A22</f>
        <v>M1</v>
      </c>
      <c r="B29" s="6">
        <f>ABS(MAX(B9:F9)-MIN(B9:F9))</f>
        <v>0.80000000000000071</v>
      </c>
      <c r="C29" s="6">
        <f>ABS(MAX(G9:K9)-MIN(G9:K9))</f>
        <v>0.60000000000000853</v>
      </c>
      <c r="D29" s="6">
        <f>ABS(MAX(L9:P9)-MIN(L9:P9))</f>
        <v>1</v>
      </c>
      <c r="E29" s="6">
        <f>ABS(MAX(Q9:U9)-MIN(Q9:U9))</f>
        <v>1</v>
      </c>
      <c r="F29" s="6">
        <f>ABS(MAX(V9:Z9)-MIN(V9:Z9))</f>
        <v>6</v>
      </c>
      <c r="G29" s="20"/>
      <c r="H29" s="20"/>
      <c r="I29" s="21"/>
      <c r="J29" s="22"/>
    </row>
    <row r="30" spans="1:32" x14ac:dyDescent="0.25">
      <c r="A30" s="13" t="str">
        <f>+A23</f>
        <v>M3</v>
      </c>
      <c r="B30" s="6">
        <f>ABS(MAX(B10:F10)-MIN(B10:F10))</f>
        <v>0.89999999999999858</v>
      </c>
      <c r="C30" s="6">
        <f>ABS(MAX(G10:K10)-MIN(G10:K10))</f>
        <v>0.29999999999999716</v>
      </c>
      <c r="D30" s="6">
        <f>ABS(MAX(L10:P10)-MIN(L10:P10))</f>
        <v>1</v>
      </c>
      <c r="E30" s="6">
        <f>ABS(MAX(Q10:U10)-MIN(Q10:U10))</f>
        <v>1</v>
      </c>
      <c r="F30" s="6">
        <f>ABS(MAX(V10:Z10)-MIN(V10:Z10))</f>
        <v>4</v>
      </c>
      <c r="G30" s="11"/>
      <c r="H30" s="11"/>
    </row>
    <row r="31" spans="1:32" x14ac:dyDescent="0.25">
      <c r="A31" s="13" t="str">
        <f>+A24</f>
        <v>M4</v>
      </c>
      <c r="B31" s="6">
        <f>ABS(MAX(B11:F11)-MIN(B11:F11))</f>
        <v>1.3000000000000007</v>
      </c>
      <c r="C31" s="6">
        <f>ABS(MAX(G11:K11)-MIN(G11:K11))</f>
        <v>0.29999999999999716</v>
      </c>
      <c r="D31" s="6">
        <f>ABS(MAX(L11:P11)-MIN(L11:P11))</f>
        <v>1</v>
      </c>
      <c r="E31" s="6">
        <f>ABS(MAX(Q11:U11)-MIN(Q11:U11))</f>
        <v>1</v>
      </c>
      <c r="F31" s="6">
        <f>ABS(MAX(V11:Z11)-MIN(V11:Z11))</f>
        <v>2</v>
      </c>
      <c r="G31" s="11"/>
      <c r="H31" s="11"/>
    </row>
    <row r="32" spans="1:32" x14ac:dyDescent="0.25">
      <c r="A32" s="13" t="str">
        <f>+A25</f>
        <v>M5</v>
      </c>
      <c r="B32" s="6">
        <f>ABS(MAX(B12:F12)-MIN(B12:F12))</f>
        <v>0.80000000000000071</v>
      </c>
      <c r="C32" s="6">
        <f>ABS(MAX(G12:K12)-MIN(G12:K12))</f>
        <v>1.2000000000000028</v>
      </c>
      <c r="D32" s="6">
        <f>ABS(MAX(L12:P12)-MIN(L12:P12))</f>
        <v>2</v>
      </c>
      <c r="E32" s="6">
        <f>ABS(MAX(Q12:U12)-MIN(Q12:U12))</f>
        <v>3</v>
      </c>
      <c r="F32" s="6">
        <f>ABS(MAX(V12:Z12)-MIN(V12:Z12))</f>
        <v>4</v>
      </c>
      <c r="G32" s="11"/>
      <c r="H32" s="11"/>
    </row>
    <row r="33" spans="1:17" x14ac:dyDescent="0.25">
      <c r="G33" s="11"/>
      <c r="H33" s="11"/>
    </row>
    <row r="37" spans="1:17" x14ac:dyDescent="0.25">
      <c r="B37" s="522" t="s">
        <v>93</v>
      </c>
      <c r="C37" s="523"/>
      <c r="D37" s="523"/>
      <c r="E37" s="523"/>
      <c r="F37" s="523"/>
      <c r="G37" s="25"/>
      <c r="H37" s="26"/>
      <c r="I37" s="26"/>
      <c r="J37" s="26"/>
      <c r="K37" s="27"/>
      <c r="L37" s="27"/>
    </row>
    <row r="38" spans="1:17" x14ac:dyDescent="0.25">
      <c r="B38" s="28">
        <f>AVERAGE(B22:B25)</f>
        <v>26.214999999999996</v>
      </c>
      <c r="C38" s="28">
        <f>AVERAGE(C22:C25)</f>
        <v>69.650000000000006</v>
      </c>
      <c r="D38" s="28">
        <f>AVERAGE(D22:D25)</f>
        <v>255.75</v>
      </c>
      <c r="E38" s="28">
        <f>AVERAGE(E22:E25)</f>
        <v>543.79999999999995</v>
      </c>
      <c r="F38" s="29">
        <f>AVERAGE(F22:F25)</f>
        <v>1252.7</v>
      </c>
      <c r="G38" s="30"/>
      <c r="H38" s="31"/>
      <c r="I38" s="32"/>
      <c r="J38" s="32"/>
      <c r="K38" s="32"/>
      <c r="L38" s="32"/>
    </row>
    <row r="40" spans="1:17" x14ac:dyDescent="0.25">
      <c r="B40" s="522" t="s">
        <v>94</v>
      </c>
      <c r="C40" s="523"/>
      <c r="D40" s="523"/>
      <c r="E40" s="523"/>
      <c r="F40" s="523"/>
      <c r="G40" s="25"/>
      <c r="H40" s="26"/>
      <c r="I40" s="26"/>
      <c r="J40" s="26"/>
      <c r="K40" s="33"/>
      <c r="L40" s="33"/>
    </row>
    <row r="41" spans="1:17" x14ac:dyDescent="0.25">
      <c r="B41" s="34">
        <f>STDEVA(B22:B25)</f>
        <v>0.254230866208913</v>
      </c>
      <c r="C41" s="34">
        <f>STDEVA(C22:C25)</f>
        <v>0.17165857586110933</v>
      </c>
      <c r="D41" s="34">
        <f>STDEVA(D22:D25)</f>
        <v>0.34156502553198109</v>
      </c>
      <c r="E41" s="34">
        <f>STDEVA(E22:E25)</f>
        <v>0.32659863237111825</v>
      </c>
      <c r="F41" s="34">
        <f>STDEVA(F22:F25)</f>
        <v>0.73936910042734982</v>
      </c>
      <c r="G41" s="35"/>
      <c r="H41" s="35"/>
    </row>
    <row r="44" spans="1:17" ht="21" x14ac:dyDescent="0.25">
      <c r="A44" s="513" t="str">
        <f>+A27</f>
        <v>Metrologo</v>
      </c>
      <c r="B44" s="518" t="s">
        <v>151</v>
      </c>
      <c r="C44" s="519"/>
      <c r="D44" s="519"/>
      <c r="E44" s="519"/>
      <c r="F44" s="519"/>
      <c r="G44" s="36"/>
      <c r="H44" s="37"/>
      <c r="I44" s="38"/>
      <c r="J44" s="509" t="s">
        <v>147</v>
      </c>
      <c r="K44" s="509"/>
      <c r="L44" s="509"/>
      <c r="M44" s="509"/>
      <c r="N44" s="39"/>
      <c r="O44" s="39"/>
      <c r="P44" s="39"/>
      <c r="Q44" s="39"/>
    </row>
    <row r="45" spans="1:17" x14ac:dyDescent="0.25">
      <c r="A45" s="514"/>
      <c r="B45" s="40">
        <v>1</v>
      </c>
      <c r="C45" s="40">
        <v>2</v>
      </c>
      <c r="D45" s="40">
        <v>3</v>
      </c>
      <c r="E45" s="40">
        <v>4</v>
      </c>
      <c r="F45" s="41">
        <v>5</v>
      </c>
      <c r="G45" s="42"/>
      <c r="H45" s="43"/>
      <c r="I45" s="44"/>
      <c r="J45" s="45">
        <v>0.01</v>
      </c>
      <c r="K45" s="45">
        <v>0.05</v>
      </c>
      <c r="L45" s="46" t="s">
        <v>95</v>
      </c>
      <c r="M45" s="46" t="s">
        <v>96</v>
      </c>
    </row>
    <row r="46" spans="1:17" x14ac:dyDescent="0.25">
      <c r="A46" s="13" t="str">
        <f>+A29</f>
        <v>M1</v>
      </c>
      <c r="B46" s="47">
        <f>(B22-$B$38)/$B$41</f>
        <v>-1.0816939898006666</v>
      </c>
      <c r="C46" s="47">
        <f>(C22-$C$38)/$C$41</f>
        <v>1.2233586288744867</v>
      </c>
      <c r="D46" s="47">
        <f>(D22-$D$38)/$D$41</f>
        <v>0.14638501094231562</v>
      </c>
      <c r="E46" s="47">
        <f>(E22-$E$38)/$E$41</f>
        <v>-1.2247448713914151</v>
      </c>
      <c r="F46" s="47">
        <f>(F22-$F$38)/$F$41</f>
        <v>0.40575133560025267</v>
      </c>
      <c r="G46" s="48"/>
      <c r="H46" s="48"/>
      <c r="J46" s="49">
        <v>1.49</v>
      </c>
      <c r="K46" s="49">
        <v>1.42</v>
      </c>
      <c r="L46" s="6">
        <f>-J46</f>
        <v>-1.49</v>
      </c>
      <c r="M46" s="6">
        <f>-K46</f>
        <v>-1.42</v>
      </c>
    </row>
    <row r="47" spans="1:17" x14ac:dyDescent="0.25">
      <c r="A47" s="13" t="str">
        <f>+A30</f>
        <v>M3</v>
      </c>
      <c r="B47" s="47">
        <f>(B23-$B$38)/$B$41</f>
        <v>0.96369100909516225</v>
      </c>
      <c r="C47" s="47">
        <f>(C23-$C$38)/$C$41</f>
        <v>0.40778620962480128</v>
      </c>
      <c r="D47" s="47">
        <f>(D23-$D$38)/$D$41</f>
        <v>-0.43915503282686369</v>
      </c>
      <c r="E47" s="47">
        <f>(E23-$E$38)/$E$41</f>
        <v>1.2247448713917632</v>
      </c>
      <c r="F47" s="47">
        <f>(F23-$F$38)/$F$41</f>
        <v>0.40575133560025267</v>
      </c>
      <c r="G47" s="48"/>
      <c r="H47" s="48"/>
      <c r="J47" s="6">
        <f>+J46</f>
        <v>1.49</v>
      </c>
      <c r="K47" s="6">
        <f>+K46</f>
        <v>1.42</v>
      </c>
      <c r="L47" s="6">
        <f>+L46</f>
        <v>-1.49</v>
      </c>
      <c r="M47" s="6">
        <f>+M46</f>
        <v>-1.42</v>
      </c>
    </row>
    <row r="48" spans="1:17" x14ac:dyDescent="0.25">
      <c r="A48" s="13" t="str">
        <f>+A31</f>
        <v>M4</v>
      </c>
      <c r="B48" s="47">
        <f>(B24-$B$38)/$B$41</f>
        <v>0.72768504768409747</v>
      </c>
      <c r="C48" s="47">
        <f>(C24-$C$38)/$C$41</f>
        <v>-0.75731724644610676</v>
      </c>
      <c r="D48" s="47">
        <f>(D24-$D$38)/$D$41</f>
        <v>-1.0246950765959597</v>
      </c>
      <c r="E48" s="47">
        <f>(E24-$E$38)/$E$41</f>
        <v>0</v>
      </c>
      <c r="F48" s="47">
        <f>(F24-$F$38)/$F$41</f>
        <v>-1.4877548972013364</v>
      </c>
      <c r="G48" s="48"/>
      <c r="H48" s="48"/>
      <c r="J48" s="6">
        <f>+J47</f>
        <v>1.49</v>
      </c>
      <c r="K48" s="6">
        <f t="shared" ref="K48:M50" si="0">+K47</f>
        <v>1.42</v>
      </c>
      <c r="L48" s="6">
        <f t="shared" si="0"/>
        <v>-1.49</v>
      </c>
      <c r="M48" s="6">
        <f t="shared" si="0"/>
        <v>-1.42</v>
      </c>
    </row>
    <row r="49" spans="1:13" x14ac:dyDescent="0.25">
      <c r="A49" s="13" t="str">
        <f>+A32</f>
        <v>M5</v>
      </c>
      <c r="B49" s="47">
        <f>(B25-$B$38)/$B$41</f>
        <v>-0.6096820669785652</v>
      </c>
      <c r="C49" s="47">
        <f>(C25-$C$38)/$C$41</f>
        <v>-0.87382759205318106</v>
      </c>
      <c r="D49" s="47">
        <f>(D25-$D$38)/$D$41</f>
        <v>1.3174650984805079</v>
      </c>
      <c r="E49" s="47">
        <f>(E25-$E$38)/$E$41</f>
        <v>0</v>
      </c>
      <c r="F49" s="47">
        <f>(F25-$F$38)/$F$41</f>
        <v>0.67625222600052359</v>
      </c>
      <c r="G49" s="48"/>
      <c r="H49" s="48"/>
      <c r="J49" s="6">
        <f>+J48</f>
        <v>1.49</v>
      </c>
      <c r="K49" s="6">
        <f t="shared" si="0"/>
        <v>1.42</v>
      </c>
      <c r="L49" s="6">
        <f t="shared" si="0"/>
        <v>-1.49</v>
      </c>
      <c r="M49" s="6">
        <f t="shared" si="0"/>
        <v>-1.42</v>
      </c>
    </row>
    <row r="50" spans="1:13" x14ac:dyDescent="0.25">
      <c r="J50" s="6">
        <f>+J49</f>
        <v>1.49</v>
      </c>
      <c r="K50" s="6">
        <f t="shared" si="0"/>
        <v>1.42</v>
      </c>
      <c r="L50" s="6">
        <f t="shared" si="0"/>
        <v>-1.49</v>
      </c>
      <c r="M50" s="6">
        <f t="shared" si="0"/>
        <v>-1.42</v>
      </c>
    </row>
    <row r="51" spans="1:13" x14ac:dyDescent="0.25">
      <c r="A51" s="512" t="s">
        <v>97</v>
      </c>
      <c r="B51" s="512"/>
      <c r="J51" s="6"/>
      <c r="K51" s="6"/>
      <c r="L51" s="6"/>
      <c r="M51" s="6"/>
    </row>
    <row r="52" spans="1:13" x14ac:dyDescent="0.25">
      <c r="J52" s="6"/>
      <c r="K52" s="6"/>
      <c r="L52" s="6"/>
      <c r="M52" s="6"/>
    </row>
    <row r="66" spans="1:21" x14ac:dyDescent="0.25">
      <c r="A66" s="502"/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"/>
      <c r="T66" s="50"/>
      <c r="U66" s="50"/>
    </row>
    <row r="67" spans="1:21" x14ac:dyDescent="0.25">
      <c r="A67" s="502"/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"/>
      <c r="T67" s="50"/>
      <c r="U67" s="50"/>
    </row>
    <row r="68" spans="1:21" x14ac:dyDescent="0.25">
      <c r="A68" s="502"/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"/>
      <c r="T68" s="50"/>
      <c r="U68" s="50"/>
    </row>
    <row r="69" spans="1:21" x14ac:dyDescent="0.25">
      <c r="A69" s="502"/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"/>
      <c r="T69" s="50"/>
      <c r="U69" s="50"/>
    </row>
    <row r="71" spans="1:21" ht="18.75" x14ac:dyDescent="0.3">
      <c r="B71" t="s">
        <v>98</v>
      </c>
      <c r="J71" s="51"/>
      <c r="K71" s="51"/>
      <c r="L71" s="51"/>
    </row>
    <row r="73" spans="1:21" x14ac:dyDescent="0.25">
      <c r="A73" s="513" t="str">
        <f>+A44</f>
        <v>Metrologo</v>
      </c>
      <c r="B73" s="518" t="s">
        <v>149</v>
      </c>
      <c r="C73" s="519"/>
      <c r="D73" s="519"/>
      <c r="E73" s="519"/>
      <c r="F73" s="519"/>
      <c r="G73" s="36"/>
      <c r="H73" s="37"/>
      <c r="I73" s="37"/>
      <c r="J73" s="37"/>
      <c r="K73" s="52"/>
      <c r="L73" s="52"/>
    </row>
    <row r="74" spans="1:21" x14ac:dyDescent="0.25">
      <c r="A74" s="514"/>
      <c r="B74" s="40">
        <v>1</v>
      </c>
      <c r="C74" s="40">
        <v>2</v>
      </c>
      <c r="D74" s="40">
        <v>3</v>
      </c>
      <c r="E74" s="40">
        <v>4</v>
      </c>
      <c r="F74" s="41">
        <v>5</v>
      </c>
      <c r="G74" s="42"/>
      <c r="H74" s="43"/>
      <c r="I74" s="32"/>
      <c r="J74" s="32"/>
    </row>
    <row r="75" spans="1:21" x14ac:dyDescent="0.25">
      <c r="A75" s="13" t="str">
        <f>+A46</f>
        <v>M1</v>
      </c>
      <c r="B75" s="53">
        <f t="shared" ref="B75:F78" si="1">B29/SQRT(2)</f>
        <v>0.56568542494923846</v>
      </c>
      <c r="C75" s="53">
        <f t="shared" si="1"/>
        <v>0.42426406871193451</v>
      </c>
      <c r="D75" s="53">
        <f t="shared" si="1"/>
        <v>0.70710678118654746</v>
      </c>
      <c r="E75" s="53">
        <f t="shared" si="1"/>
        <v>0.70710678118654746</v>
      </c>
      <c r="F75" s="54">
        <f t="shared" si="1"/>
        <v>4.2426406871192848</v>
      </c>
      <c r="G75" s="55"/>
      <c r="H75" s="56"/>
      <c r="I75" s="32"/>
      <c r="J75" s="32"/>
    </row>
    <row r="76" spans="1:21" x14ac:dyDescent="0.25">
      <c r="A76" s="13" t="str">
        <f>+A47</f>
        <v>M3</v>
      </c>
      <c r="B76" s="53">
        <f t="shared" si="1"/>
        <v>0.63639610306789174</v>
      </c>
      <c r="C76" s="53">
        <f t="shared" si="1"/>
        <v>0.21213203435596223</v>
      </c>
      <c r="D76" s="53">
        <f t="shared" si="1"/>
        <v>0.70710678118654746</v>
      </c>
      <c r="E76" s="53">
        <f t="shared" si="1"/>
        <v>0.70710678118654746</v>
      </c>
      <c r="F76" s="54">
        <f t="shared" si="1"/>
        <v>2.8284271247461898</v>
      </c>
      <c r="G76" s="55"/>
      <c r="H76" s="56"/>
      <c r="I76" s="32"/>
      <c r="J76" s="32"/>
    </row>
    <row r="77" spans="1:21" x14ac:dyDescent="0.25">
      <c r="A77" s="13" t="str">
        <f>+A48</f>
        <v>M4</v>
      </c>
      <c r="B77" s="53">
        <f t="shared" si="1"/>
        <v>0.91923881554251219</v>
      </c>
      <c r="C77" s="53">
        <f t="shared" si="1"/>
        <v>0.21213203435596223</v>
      </c>
      <c r="D77" s="53">
        <f t="shared" si="1"/>
        <v>0.70710678118654746</v>
      </c>
      <c r="E77" s="53">
        <f t="shared" si="1"/>
        <v>0.70710678118654746</v>
      </c>
      <c r="F77" s="54">
        <f t="shared" si="1"/>
        <v>1.4142135623730949</v>
      </c>
      <c r="G77" s="55"/>
      <c r="H77" s="56"/>
      <c r="I77" s="32"/>
      <c r="J77" s="32"/>
    </row>
    <row r="78" spans="1:21" x14ac:dyDescent="0.25">
      <c r="A78" s="13" t="str">
        <f>+A49</f>
        <v>M5</v>
      </c>
      <c r="B78" s="53">
        <f t="shared" si="1"/>
        <v>0.56568542494923846</v>
      </c>
      <c r="C78" s="53">
        <f t="shared" si="1"/>
        <v>0.84852813742385902</v>
      </c>
      <c r="D78" s="53">
        <f t="shared" si="1"/>
        <v>1.4142135623730949</v>
      </c>
      <c r="E78" s="53">
        <f t="shared" si="1"/>
        <v>2.1213203435596424</v>
      </c>
      <c r="F78" s="54">
        <f t="shared" si="1"/>
        <v>2.8284271247461898</v>
      </c>
      <c r="G78" s="55"/>
      <c r="H78" s="56"/>
      <c r="I78" s="32"/>
      <c r="J78" s="32"/>
    </row>
    <row r="80" spans="1:21" x14ac:dyDescent="0.25">
      <c r="B80" s="57">
        <f>SQRT(SUMSQ(B75:B78))</f>
        <v>1.374772708486752</v>
      </c>
      <c r="C80" s="57">
        <f>SQRT(SUMSQ(C75:C78))</f>
        <v>0.99498743710662341</v>
      </c>
      <c r="D80" s="57">
        <f>SQRT(SUMSQ(D75:D78))</f>
        <v>1.8708286933869704</v>
      </c>
      <c r="E80" s="57">
        <f>SQRT(SUMSQ(E75:E78))</f>
        <v>2.4494897427831779</v>
      </c>
      <c r="F80" s="57">
        <f>SQRT(SUMSQ(F75:F78))</f>
        <v>5.9999999999999991</v>
      </c>
      <c r="G80" s="58"/>
      <c r="H80" s="58"/>
    </row>
    <row r="82" spans="1:17" x14ac:dyDescent="0.25">
      <c r="A82" s="513" t="str">
        <f>+A73</f>
        <v>Metrologo</v>
      </c>
      <c r="B82" s="59" t="s">
        <v>148</v>
      </c>
      <c r="C82" s="60"/>
      <c r="D82" s="60"/>
      <c r="E82" s="60"/>
      <c r="F82" s="60"/>
      <c r="G82" s="8"/>
      <c r="H82" s="9"/>
      <c r="I82" s="61"/>
      <c r="J82" s="516" t="s">
        <v>154</v>
      </c>
      <c r="K82" s="517"/>
      <c r="L82" s="62"/>
      <c r="M82" s="63"/>
      <c r="N82" s="39"/>
      <c r="O82" s="39"/>
      <c r="P82" s="39"/>
      <c r="Q82" s="39"/>
    </row>
    <row r="83" spans="1:17" x14ac:dyDescent="0.25">
      <c r="A83" s="514"/>
      <c r="B83" s="40">
        <v>1</v>
      </c>
      <c r="C83" s="40">
        <v>2</v>
      </c>
      <c r="D83" s="40">
        <v>3</v>
      </c>
      <c r="E83" s="40">
        <v>4</v>
      </c>
      <c r="F83" s="41">
        <v>5</v>
      </c>
      <c r="G83" s="64"/>
      <c r="H83" s="65"/>
      <c r="I83" s="66"/>
      <c r="J83" s="67">
        <v>0.01</v>
      </c>
      <c r="K83" s="67">
        <v>0.05</v>
      </c>
      <c r="L83" s="68"/>
      <c r="M83" s="68"/>
      <c r="N83" s="68"/>
      <c r="O83" s="68"/>
    </row>
    <row r="84" spans="1:17" x14ac:dyDescent="0.25">
      <c r="A84" s="13" t="str">
        <f>+A75</f>
        <v>M1</v>
      </c>
      <c r="B84" s="28">
        <f t="shared" ref="B84:F87" si="2">B75*SQRT($C$2)/$B$80</f>
        <v>0.92008741245647307</v>
      </c>
      <c r="C84" s="28">
        <f t="shared" si="2"/>
        <v>0.69006555934236391</v>
      </c>
      <c r="D84" s="28">
        <f t="shared" si="2"/>
        <v>1.1501092655705902</v>
      </c>
      <c r="E84" s="28">
        <f t="shared" si="2"/>
        <v>1.1501092655705902</v>
      </c>
      <c r="F84" s="28">
        <f t="shared" si="2"/>
        <v>6.9006555934235418</v>
      </c>
      <c r="G84" s="69"/>
      <c r="H84" s="69"/>
      <c r="J84" s="70">
        <v>1.55</v>
      </c>
      <c r="K84" s="70">
        <v>1.4</v>
      </c>
    </row>
    <row r="85" spans="1:17" x14ac:dyDescent="0.25">
      <c r="A85" s="13" t="str">
        <f>+A76</f>
        <v>M3</v>
      </c>
      <c r="B85" s="28">
        <f t="shared" si="2"/>
        <v>1.0350983390135298</v>
      </c>
      <c r="C85" s="28">
        <f t="shared" si="2"/>
        <v>0.34503277967117379</v>
      </c>
      <c r="D85" s="28">
        <f t="shared" si="2"/>
        <v>1.1501092655705902</v>
      </c>
      <c r="E85" s="28">
        <f t="shared" si="2"/>
        <v>1.1501092655705902</v>
      </c>
      <c r="F85" s="28">
        <f t="shared" si="2"/>
        <v>4.6004370622823609</v>
      </c>
      <c r="G85" s="35"/>
      <c r="H85" s="35"/>
      <c r="J85" s="5">
        <f t="shared" ref="J85:K88" si="3">+J84</f>
        <v>1.55</v>
      </c>
      <c r="K85" s="5">
        <f t="shared" si="3"/>
        <v>1.4</v>
      </c>
    </row>
    <row r="86" spans="1:17" x14ac:dyDescent="0.25">
      <c r="A86" s="13" t="str">
        <f>+A77</f>
        <v>M4</v>
      </c>
      <c r="B86" s="28">
        <f t="shared" si="2"/>
        <v>1.4951420452417681</v>
      </c>
      <c r="C86" s="28">
        <f t="shared" si="2"/>
        <v>0.34503277967117379</v>
      </c>
      <c r="D86" s="28">
        <f t="shared" si="2"/>
        <v>1.1501092655705902</v>
      </c>
      <c r="E86" s="28">
        <f t="shared" si="2"/>
        <v>1.1501092655705902</v>
      </c>
      <c r="F86" s="28">
        <f t="shared" si="2"/>
        <v>2.3002185311411805</v>
      </c>
      <c r="G86" s="35"/>
      <c r="H86" s="35"/>
      <c r="J86" s="5">
        <f t="shared" si="3"/>
        <v>1.55</v>
      </c>
      <c r="K86" s="5">
        <f t="shared" si="3"/>
        <v>1.4</v>
      </c>
    </row>
    <row r="87" spans="1:17" x14ac:dyDescent="0.25">
      <c r="A87" s="13" t="str">
        <f>+A78</f>
        <v>M5</v>
      </c>
      <c r="B87" s="28">
        <f t="shared" si="2"/>
        <v>0.92008741245647307</v>
      </c>
      <c r="C87" s="28">
        <f t="shared" si="2"/>
        <v>1.3801311186847118</v>
      </c>
      <c r="D87" s="28">
        <f t="shared" si="2"/>
        <v>2.3002185311411805</v>
      </c>
      <c r="E87" s="28">
        <f t="shared" si="2"/>
        <v>3.4503277967117709</v>
      </c>
      <c r="F87" s="145">
        <f>F78*SQRT($C$2)/$B$80-4</f>
        <v>0.60043706228236093</v>
      </c>
      <c r="G87" s="35"/>
      <c r="H87" s="35"/>
      <c r="J87" s="5">
        <f t="shared" si="3"/>
        <v>1.55</v>
      </c>
      <c r="K87" s="5">
        <f t="shared" si="3"/>
        <v>1.4</v>
      </c>
    </row>
    <row r="88" spans="1:17" x14ac:dyDescent="0.25">
      <c r="J88" s="5">
        <f t="shared" si="3"/>
        <v>1.55</v>
      </c>
      <c r="K88" s="5">
        <f t="shared" si="3"/>
        <v>1.4</v>
      </c>
    </row>
    <row r="90" spans="1:17" x14ac:dyDescent="0.25">
      <c r="A90" s="512" t="s">
        <v>97</v>
      </c>
      <c r="B90" s="512"/>
    </row>
    <row r="105" spans="1:27" x14ac:dyDescent="0.25">
      <c r="B105" s="71"/>
    </row>
    <row r="106" spans="1:27" x14ac:dyDescent="0.25">
      <c r="B106" s="71"/>
    </row>
    <row r="107" spans="1:27" x14ac:dyDescent="0.25">
      <c r="A107" t="s">
        <v>99</v>
      </c>
    </row>
    <row r="108" spans="1:27" x14ac:dyDescent="0.25">
      <c r="A108" s="513" t="str">
        <f>+A82</f>
        <v>Metrologo</v>
      </c>
      <c r="B108" s="144" t="s">
        <v>90</v>
      </c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</row>
    <row r="109" spans="1:27" x14ac:dyDescent="0.25">
      <c r="A109" s="514"/>
      <c r="B109" s="72">
        <v>1</v>
      </c>
      <c r="C109" s="73"/>
      <c r="D109" s="73"/>
      <c r="E109" s="73"/>
      <c r="F109" s="74"/>
      <c r="G109" s="72">
        <v>2</v>
      </c>
      <c r="H109" s="73"/>
      <c r="I109" s="73"/>
      <c r="J109" s="73"/>
      <c r="K109" s="74"/>
      <c r="L109" s="72">
        <v>3</v>
      </c>
      <c r="M109" s="73"/>
      <c r="N109" s="73"/>
      <c r="O109" s="73"/>
      <c r="P109" s="74"/>
      <c r="Q109" s="72">
        <v>4</v>
      </c>
      <c r="R109" s="73"/>
      <c r="S109" s="73"/>
      <c r="T109" s="73"/>
      <c r="U109" s="73"/>
      <c r="V109" s="74"/>
      <c r="W109" s="72">
        <v>5</v>
      </c>
      <c r="X109" s="73"/>
      <c r="Y109" s="73"/>
      <c r="Z109" s="73"/>
      <c r="AA109" s="74"/>
    </row>
    <row r="110" spans="1:27" x14ac:dyDescent="0.25">
      <c r="A110" s="13" t="str">
        <f>+A84</f>
        <v>M1</v>
      </c>
      <c r="B110" s="5">
        <f t="shared" ref="B110:Q110" si="4">+B9</f>
        <v>25.8</v>
      </c>
      <c r="C110" s="5">
        <f t="shared" si="4"/>
        <v>26.2</v>
      </c>
      <c r="D110" s="5">
        <f t="shared" si="4"/>
        <v>25.9</v>
      </c>
      <c r="E110" s="5">
        <f t="shared" si="4"/>
        <v>26.3</v>
      </c>
      <c r="F110" s="5">
        <f t="shared" si="4"/>
        <v>25.5</v>
      </c>
      <c r="G110" s="5">
        <f t="shared" si="4"/>
        <v>70.2</v>
      </c>
      <c r="H110" s="5">
        <f t="shared" si="4"/>
        <v>69.900000000000006</v>
      </c>
      <c r="I110" s="5">
        <f t="shared" si="4"/>
        <v>69.8</v>
      </c>
      <c r="J110" s="5">
        <f t="shared" si="4"/>
        <v>69.599999999999994</v>
      </c>
      <c r="K110" s="5">
        <f t="shared" si="4"/>
        <v>69.8</v>
      </c>
      <c r="L110" s="5">
        <f t="shared" si="4"/>
        <v>256</v>
      </c>
      <c r="M110" s="5">
        <f t="shared" si="4"/>
        <v>256</v>
      </c>
      <c r="N110" s="5">
        <f t="shared" si="4"/>
        <v>255</v>
      </c>
      <c r="O110" s="5">
        <f t="shared" si="4"/>
        <v>256</v>
      </c>
      <c r="P110" s="5">
        <f t="shared" si="4"/>
        <v>256</v>
      </c>
      <c r="Q110" s="5">
        <f t="shared" si="4"/>
        <v>544</v>
      </c>
      <c r="R110" s="5"/>
      <c r="S110" s="5">
        <f t="shared" ref="S110:AA110" si="5">+R9</f>
        <v>543</v>
      </c>
      <c r="T110" s="5">
        <f t="shared" si="5"/>
        <v>543</v>
      </c>
      <c r="U110" s="5">
        <f t="shared" si="5"/>
        <v>543</v>
      </c>
      <c r="V110" s="5">
        <f t="shared" si="5"/>
        <v>544</v>
      </c>
      <c r="W110" s="5">
        <f t="shared" si="5"/>
        <v>1254</v>
      </c>
      <c r="X110" s="5">
        <f t="shared" si="5"/>
        <v>1255</v>
      </c>
      <c r="Y110" s="5">
        <f t="shared" si="5"/>
        <v>1253</v>
      </c>
      <c r="Z110" s="5">
        <f t="shared" si="5"/>
        <v>1249</v>
      </c>
      <c r="AA110" s="5">
        <f t="shared" si="5"/>
        <v>1254</v>
      </c>
    </row>
    <row r="111" spans="1:27" x14ac:dyDescent="0.25">
      <c r="A111" s="13" t="str">
        <f>+A85</f>
        <v>M3</v>
      </c>
      <c r="B111" s="5">
        <f t="shared" ref="B111:Q111" si="6">+B10</f>
        <v>26.5</v>
      </c>
      <c r="C111" s="5">
        <f t="shared" si="6"/>
        <v>26.9</v>
      </c>
      <c r="D111" s="5">
        <f t="shared" si="6"/>
        <v>26</v>
      </c>
      <c r="E111" s="7">
        <f t="shared" si="6"/>
        <v>26.2</v>
      </c>
      <c r="F111" s="5">
        <f t="shared" si="6"/>
        <v>26.7</v>
      </c>
      <c r="G111" s="5">
        <f t="shared" si="6"/>
        <v>69.7</v>
      </c>
      <c r="H111" s="5">
        <f t="shared" si="6"/>
        <v>69.5</v>
      </c>
      <c r="I111" s="5">
        <f t="shared" si="6"/>
        <v>69.8</v>
      </c>
      <c r="J111" s="5">
        <f t="shared" si="6"/>
        <v>69.8</v>
      </c>
      <c r="K111" s="5">
        <f t="shared" si="6"/>
        <v>69.8</v>
      </c>
      <c r="L111" s="5">
        <f t="shared" si="6"/>
        <v>255</v>
      </c>
      <c r="M111" s="5">
        <f t="shared" si="6"/>
        <v>255</v>
      </c>
      <c r="N111" s="5">
        <f t="shared" si="6"/>
        <v>256</v>
      </c>
      <c r="O111" s="5">
        <f t="shared" si="6"/>
        <v>256</v>
      </c>
      <c r="P111" s="5">
        <f t="shared" si="6"/>
        <v>256</v>
      </c>
      <c r="Q111" s="5">
        <f t="shared" si="6"/>
        <v>544</v>
      </c>
      <c r="R111" s="5"/>
      <c r="S111" s="5">
        <f t="shared" ref="S111:AA111" si="7">+R10</f>
        <v>544</v>
      </c>
      <c r="T111" s="5">
        <f t="shared" si="7"/>
        <v>544</v>
      </c>
      <c r="U111" s="5">
        <f t="shared" si="7"/>
        <v>545</v>
      </c>
      <c r="V111" s="5">
        <f t="shared" si="7"/>
        <v>544</v>
      </c>
      <c r="W111" s="5">
        <f t="shared" si="7"/>
        <v>1254</v>
      </c>
      <c r="X111" s="5">
        <f t="shared" si="7"/>
        <v>1253</v>
      </c>
      <c r="Y111" s="5">
        <f t="shared" si="7"/>
        <v>1254</v>
      </c>
      <c r="Z111" s="149">
        <f t="shared" si="7"/>
        <v>1250</v>
      </c>
      <c r="AA111" s="5">
        <f t="shared" si="7"/>
        <v>1254</v>
      </c>
    </row>
    <row r="112" spans="1:27" x14ac:dyDescent="0.25">
      <c r="A112" s="13" t="str">
        <f>+A86</f>
        <v>M4</v>
      </c>
      <c r="B112" s="5">
        <f t="shared" ref="B112:Q112" si="8">+B11</f>
        <v>25.8</v>
      </c>
      <c r="C112" s="5">
        <f t="shared" si="8"/>
        <v>27.1</v>
      </c>
      <c r="D112" s="5">
        <f t="shared" si="8"/>
        <v>26.5</v>
      </c>
      <c r="E112" s="5">
        <f t="shared" si="8"/>
        <v>26.1</v>
      </c>
      <c r="F112" s="5">
        <f t="shared" si="8"/>
        <v>26.5</v>
      </c>
      <c r="G112" s="5">
        <f t="shared" si="8"/>
        <v>69.599999999999994</v>
      </c>
      <c r="H112" s="5">
        <f t="shared" si="8"/>
        <v>69.400000000000006</v>
      </c>
      <c r="I112" s="5">
        <f t="shared" si="8"/>
        <v>69.5</v>
      </c>
      <c r="J112" s="5">
        <f t="shared" si="8"/>
        <v>69.7</v>
      </c>
      <c r="K112" s="5">
        <f t="shared" si="8"/>
        <v>69.400000000000006</v>
      </c>
      <c r="L112" s="5">
        <f t="shared" si="8"/>
        <v>256</v>
      </c>
      <c r="M112" s="5">
        <f t="shared" si="8"/>
        <v>255</v>
      </c>
      <c r="N112" s="5">
        <f t="shared" si="8"/>
        <v>255</v>
      </c>
      <c r="O112" s="5">
        <f t="shared" si="8"/>
        <v>255</v>
      </c>
      <c r="P112" s="5">
        <f t="shared" si="8"/>
        <v>256</v>
      </c>
      <c r="Q112" s="5">
        <f t="shared" si="8"/>
        <v>544</v>
      </c>
      <c r="R112" s="5"/>
      <c r="S112" s="5">
        <f t="shared" ref="S112:AA112" si="9">+R11</f>
        <v>544</v>
      </c>
      <c r="T112" s="5">
        <f t="shared" si="9"/>
        <v>543</v>
      </c>
      <c r="U112" s="5">
        <f t="shared" si="9"/>
        <v>544</v>
      </c>
      <c r="V112" s="5">
        <f t="shared" si="9"/>
        <v>544</v>
      </c>
      <c r="W112" s="5">
        <f t="shared" si="9"/>
        <v>1251</v>
      </c>
      <c r="X112" s="5">
        <f t="shared" si="9"/>
        <v>1253</v>
      </c>
      <c r="Y112" s="5">
        <f t="shared" si="9"/>
        <v>1251</v>
      </c>
      <c r="Z112" s="5">
        <f t="shared" si="9"/>
        <v>1252</v>
      </c>
      <c r="AA112" s="5">
        <f t="shared" si="9"/>
        <v>1251</v>
      </c>
    </row>
    <row r="113" spans="1:27" x14ac:dyDescent="0.25">
      <c r="A113" s="13" t="str">
        <f>+A87</f>
        <v>M5</v>
      </c>
      <c r="B113" s="5">
        <f t="shared" ref="B113:Q113" si="10">+B12</f>
        <v>26.4</v>
      </c>
      <c r="C113" s="5">
        <f t="shared" si="10"/>
        <v>25.9</v>
      </c>
      <c r="D113" s="5">
        <f t="shared" si="10"/>
        <v>25.8</v>
      </c>
      <c r="E113" s="5">
        <f t="shared" si="10"/>
        <v>26.5</v>
      </c>
      <c r="F113" s="5">
        <f t="shared" si="10"/>
        <v>25.7</v>
      </c>
      <c r="G113" s="5">
        <f t="shared" si="10"/>
        <v>69.599999999999994</v>
      </c>
      <c r="H113" s="5">
        <f t="shared" si="10"/>
        <v>69.5</v>
      </c>
      <c r="I113" s="5">
        <f t="shared" si="10"/>
        <v>68.7</v>
      </c>
      <c r="J113" s="5">
        <f t="shared" si="10"/>
        <v>69.900000000000006</v>
      </c>
      <c r="K113" s="5">
        <f t="shared" si="10"/>
        <v>69.8</v>
      </c>
      <c r="L113" s="5">
        <f t="shared" si="10"/>
        <v>256</v>
      </c>
      <c r="M113" s="5">
        <f t="shared" si="10"/>
        <v>255</v>
      </c>
      <c r="N113" s="5">
        <f t="shared" si="10"/>
        <v>257</v>
      </c>
      <c r="O113" s="5">
        <f t="shared" si="10"/>
        <v>257</v>
      </c>
      <c r="P113" s="5">
        <f t="shared" si="10"/>
        <v>256</v>
      </c>
      <c r="Q113" s="5">
        <f t="shared" si="10"/>
        <v>545</v>
      </c>
      <c r="R113" s="5"/>
      <c r="S113" s="5">
        <f t="shared" ref="S113:AA113" si="11">+R12</f>
        <v>542</v>
      </c>
      <c r="T113" s="5">
        <f t="shared" si="11"/>
        <v>543</v>
      </c>
      <c r="U113" s="5">
        <f t="shared" si="11"/>
        <v>544</v>
      </c>
      <c r="V113" s="5">
        <f t="shared" si="11"/>
        <v>545</v>
      </c>
      <c r="W113" s="5">
        <f t="shared" si="11"/>
        <v>1251</v>
      </c>
      <c r="X113" s="5">
        <f t="shared" si="11"/>
        <v>1255</v>
      </c>
      <c r="Y113" s="5">
        <f t="shared" si="11"/>
        <v>1251</v>
      </c>
      <c r="Z113" s="5">
        <f t="shared" si="11"/>
        <v>1255</v>
      </c>
      <c r="AA113" s="5">
        <f t="shared" si="11"/>
        <v>1254</v>
      </c>
    </row>
    <row r="115" spans="1:27" x14ac:dyDescent="0.25">
      <c r="A115" s="513" t="str">
        <f>+A108</f>
        <v>Metrologo</v>
      </c>
      <c r="B115" s="509">
        <v>1</v>
      </c>
      <c r="C115" s="509"/>
      <c r="D115" s="509">
        <v>2</v>
      </c>
      <c r="E115" s="509"/>
      <c r="F115" s="509">
        <v>3</v>
      </c>
      <c r="G115" s="509"/>
      <c r="H115" s="509">
        <v>4</v>
      </c>
      <c r="I115" s="509"/>
      <c r="J115" s="509">
        <v>5</v>
      </c>
      <c r="K115" s="509"/>
      <c r="L115" s="510"/>
      <c r="M115" s="511"/>
      <c r="N115" s="511"/>
      <c r="O115" s="511"/>
      <c r="P115" s="511"/>
      <c r="Q115" s="511"/>
      <c r="R115" s="511"/>
      <c r="S115" s="511"/>
      <c r="T115" s="32"/>
      <c r="U115" s="32"/>
    </row>
    <row r="116" spans="1:27" ht="39.75" customHeight="1" x14ac:dyDescent="0.25">
      <c r="A116" s="51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6"/>
      <c r="M116" s="76"/>
      <c r="N116" s="76"/>
      <c r="O116" s="76"/>
      <c r="P116" s="76"/>
      <c r="Q116" s="76"/>
      <c r="R116" s="76"/>
      <c r="S116" s="76"/>
      <c r="T116" s="32"/>
      <c r="U116" s="32"/>
    </row>
    <row r="117" spans="1:27" x14ac:dyDescent="0.25">
      <c r="A117" s="514"/>
      <c r="B117" s="148" t="s">
        <v>100</v>
      </c>
      <c r="C117" s="148" t="s">
        <v>101</v>
      </c>
      <c r="D117" s="148" t="s">
        <v>100</v>
      </c>
      <c r="E117" s="148" t="s">
        <v>101</v>
      </c>
      <c r="F117" s="148" t="s">
        <v>100</v>
      </c>
      <c r="G117" s="148" t="s">
        <v>101</v>
      </c>
      <c r="H117" s="148" t="s">
        <v>100</v>
      </c>
      <c r="I117" s="148" t="s">
        <v>101</v>
      </c>
      <c r="J117" s="148" t="s">
        <v>100</v>
      </c>
      <c r="K117" s="148" t="s">
        <v>101</v>
      </c>
    </row>
    <row r="118" spans="1:27" x14ac:dyDescent="0.25">
      <c r="A118" s="13" t="str">
        <f>+A110</f>
        <v>M1</v>
      </c>
      <c r="B118" s="147">
        <f>AVERAGE(B110:F110)</f>
        <v>25.939999999999998</v>
      </c>
      <c r="C118" s="146">
        <v>5</v>
      </c>
      <c r="D118" s="47">
        <f>AVERAGE(G110:K110)</f>
        <v>69.86</v>
      </c>
      <c r="E118" s="77">
        <v>5</v>
      </c>
      <c r="F118" s="47">
        <f>AVERAGE(L110:P110)</f>
        <v>255.8</v>
      </c>
      <c r="G118" s="77">
        <v>5</v>
      </c>
      <c r="H118" s="47">
        <f>AVERAGE(Q110:V110)</f>
        <v>543.4</v>
      </c>
      <c r="I118" s="77">
        <v>5</v>
      </c>
      <c r="J118" s="47">
        <f>AVERAGE(W110:AA110)</f>
        <v>1253</v>
      </c>
      <c r="K118" s="77">
        <v>5</v>
      </c>
    </row>
    <row r="119" spans="1:27" x14ac:dyDescent="0.25">
      <c r="A119" s="13" t="str">
        <f>+A111</f>
        <v>M3</v>
      </c>
      <c r="B119" s="47">
        <f>AVERAGE(B111:F111)</f>
        <v>26.46</v>
      </c>
      <c r="C119" s="77">
        <v>5</v>
      </c>
      <c r="D119" s="47">
        <f>AVERAGE(G111:K111)</f>
        <v>69.72</v>
      </c>
      <c r="E119" s="77">
        <v>5</v>
      </c>
      <c r="F119" s="47">
        <f>AVERAGE(L111:P111)</f>
        <v>255.6</v>
      </c>
      <c r="G119" s="77">
        <v>5</v>
      </c>
      <c r="H119" s="47">
        <f>AVERAGE(Q111:V111)</f>
        <v>544.20000000000005</v>
      </c>
      <c r="I119" s="77">
        <v>5</v>
      </c>
      <c r="J119" s="47">
        <f>AVERAGE(W111:Y111,AA111)</f>
        <v>1253.75</v>
      </c>
      <c r="K119" s="77">
        <v>4</v>
      </c>
    </row>
    <row r="120" spans="1:27" x14ac:dyDescent="0.25">
      <c r="A120" s="13" t="str">
        <f>+A112</f>
        <v>M4</v>
      </c>
      <c r="B120" s="47">
        <f>AVERAGE(B112:F112)</f>
        <v>26.4</v>
      </c>
      <c r="C120" s="77">
        <v>5</v>
      </c>
      <c r="D120" s="47">
        <f>AVERAGE(G112:K112)</f>
        <v>69.52000000000001</v>
      </c>
      <c r="E120" s="77">
        <v>5</v>
      </c>
      <c r="F120" s="47">
        <f>AVERAGE(L112:P112)</f>
        <v>255.4</v>
      </c>
      <c r="G120" s="77">
        <v>5</v>
      </c>
      <c r="H120" s="47">
        <f>AVERAGE(Q112:V112)</f>
        <v>543.79999999999995</v>
      </c>
      <c r="I120" s="77">
        <v>5</v>
      </c>
      <c r="J120" s="47">
        <f>AVERAGE(W112:AA112)</f>
        <v>1251.5999999999999</v>
      </c>
      <c r="K120" s="77">
        <v>5</v>
      </c>
    </row>
    <row r="121" spans="1:27" x14ac:dyDescent="0.25">
      <c r="A121" s="13" t="str">
        <f>+A113</f>
        <v>M5</v>
      </c>
      <c r="B121" s="47">
        <f>AVERAGE(B113:F113)</f>
        <v>26.059999999999995</v>
      </c>
      <c r="C121" s="77">
        <v>5</v>
      </c>
      <c r="D121" s="47">
        <f>AVERAGE(G113:K113)</f>
        <v>69.500000000000014</v>
      </c>
      <c r="E121" s="77">
        <v>5</v>
      </c>
      <c r="F121" s="47">
        <f>AVERAGE(L113:P113)</f>
        <v>256.2</v>
      </c>
      <c r="G121" s="77">
        <v>5</v>
      </c>
      <c r="H121" s="47">
        <f>AVERAGE(Q113:V113)</f>
        <v>543.79999999999995</v>
      </c>
      <c r="I121" s="77">
        <v>6</v>
      </c>
      <c r="J121" s="47">
        <f>AVERAGE(W113:AA113)</f>
        <v>1253.2</v>
      </c>
      <c r="K121" s="77">
        <v>5</v>
      </c>
    </row>
    <row r="122" spans="1:27" x14ac:dyDescent="0.25">
      <c r="E122" s="78"/>
      <c r="J122" s="53"/>
    </row>
    <row r="123" spans="1:27" x14ac:dyDescent="0.25">
      <c r="A123" t="s">
        <v>102</v>
      </c>
    </row>
    <row r="124" spans="1:27" x14ac:dyDescent="0.25">
      <c r="A124" s="79" t="str">
        <f>+A115</f>
        <v>Metrologo</v>
      </c>
      <c r="B124" s="509">
        <v>1</v>
      </c>
      <c r="C124" s="509"/>
      <c r="D124" s="509">
        <v>2</v>
      </c>
      <c r="E124" s="509"/>
      <c r="F124" s="509">
        <v>3</v>
      </c>
      <c r="G124" s="509"/>
      <c r="H124" s="509">
        <v>4</v>
      </c>
      <c r="I124" s="509"/>
      <c r="J124" s="509">
        <v>5</v>
      </c>
      <c r="K124" s="509"/>
    </row>
    <row r="125" spans="1:27" x14ac:dyDescent="0.25">
      <c r="A125" s="13" t="str">
        <f>+A118</f>
        <v>M1</v>
      </c>
      <c r="B125" s="80">
        <f>STDEV(B110:F110)</f>
        <v>0.32093613071762428</v>
      </c>
      <c r="C125" s="6">
        <v>5</v>
      </c>
      <c r="D125" s="80">
        <f>STDEV(G110:K110)</f>
        <v>0.21908902300206989</v>
      </c>
      <c r="E125" s="77">
        <v>5</v>
      </c>
      <c r="F125" s="80">
        <f>STDEV(L110:P110)</f>
        <v>0.44721359549995793</v>
      </c>
      <c r="G125" s="77">
        <v>5</v>
      </c>
      <c r="H125" s="80">
        <f>STDEV(Q110:V110)</f>
        <v>0.54772255750516619</v>
      </c>
      <c r="I125" s="77">
        <v>5</v>
      </c>
      <c r="J125" s="80">
        <f>STDEV(W110:AA110)</f>
        <v>2.3452078799117149</v>
      </c>
      <c r="K125" s="77">
        <v>5</v>
      </c>
      <c r="L125" s="81"/>
    </row>
    <row r="126" spans="1:27" x14ac:dyDescent="0.25">
      <c r="A126" s="13" t="str">
        <f>+A119</f>
        <v>M3</v>
      </c>
      <c r="B126" s="80">
        <f>STDEV(B111:F111)</f>
        <v>0.36469165057620895</v>
      </c>
      <c r="C126" s="6">
        <v>5</v>
      </c>
      <c r="D126" s="80">
        <f>STDEV(G111:K111)</f>
        <v>0.13038404810405155</v>
      </c>
      <c r="E126" s="77">
        <v>5</v>
      </c>
      <c r="F126" s="80">
        <f>STDEV(L111:P111)</f>
        <v>0.54772255750516607</v>
      </c>
      <c r="G126" s="77">
        <v>5</v>
      </c>
      <c r="H126" s="80">
        <f>STDEV(Q111:V111)</f>
        <v>0.44721359549995793</v>
      </c>
      <c r="I126" s="77">
        <v>5</v>
      </c>
      <c r="J126" s="80">
        <f>STDEV(W111:AA111)</f>
        <v>1.7320508075688772</v>
      </c>
      <c r="K126" s="77">
        <v>4</v>
      </c>
      <c r="L126" s="81"/>
    </row>
    <row r="127" spans="1:27" x14ac:dyDescent="0.25">
      <c r="A127" s="13" t="str">
        <f>+A120</f>
        <v>M4</v>
      </c>
      <c r="B127" s="80">
        <f>STDEV(B112:F112)</f>
        <v>0.48989794855663565</v>
      </c>
      <c r="C127" s="6">
        <v>5</v>
      </c>
      <c r="D127" s="80">
        <f>STDEV(G112:K112)</f>
        <v>0.13038404810405047</v>
      </c>
      <c r="E127" s="77">
        <v>5</v>
      </c>
      <c r="F127" s="80">
        <f>STDEV(L112:P112)</f>
        <v>0.54772255750516607</v>
      </c>
      <c r="G127" s="77">
        <v>5</v>
      </c>
      <c r="H127" s="80">
        <f>STDEV(Q112:V112)</f>
        <v>0.44721359549995793</v>
      </c>
      <c r="I127" s="77">
        <v>5</v>
      </c>
      <c r="J127" s="80">
        <f>STDEV(W112:AA112)</f>
        <v>0.89442719099991586</v>
      </c>
      <c r="K127" s="77">
        <v>5</v>
      </c>
      <c r="L127" s="81"/>
    </row>
    <row r="128" spans="1:27" x14ac:dyDescent="0.25">
      <c r="A128" s="13" t="str">
        <f>+A121</f>
        <v>M5</v>
      </c>
      <c r="B128" s="80">
        <f>STDEV(B113:F113)</f>
        <v>0.36469165057620928</v>
      </c>
      <c r="C128" s="6">
        <v>5</v>
      </c>
      <c r="D128" s="80">
        <f>STDEV(G113:K113)</f>
        <v>0.47434164902525616</v>
      </c>
      <c r="E128" s="77">
        <v>5</v>
      </c>
      <c r="F128" s="80">
        <f>STDEV(L113:P113)</f>
        <v>0.83666002653407556</v>
      </c>
      <c r="G128" s="77">
        <v>5</v>
      </c>
      <c r="H128" s="80">
        <f>STDEV(Q113:V113)</f>
        <v>1.3038404810405297</v>
      </c>
      <c r="I128" s="77">
        <v>5</v>
      </c>
      <c r="J128" s="80">
        <f>STDEV(W113:AA113)</f>
        <v>2.0493901531919194</v>
      </c>
      <c r="K128" s="77">
        <v>5</v>
      </c>
      <c r="L128" s="81"/>
    </row>
    <row r="134" spans="1:22" x14ac:dyDescent="0.25">
      <c r="R134">
        <v>0.7</v>
      </c>
      <c r="S134">
        <v>0.73</v>
      </c>
      <c r="T134">
        <v>0.71</v>
      </c>
      <c r="U134">
        <v>0.7</v>
      </c>
    </row>
    <row r="135" spans="1:22" x14ac:dyDescent="0.25">
      <c r="N135">
        <v>0.71</v>
      </c>
      <c r="O135">
        <v>0.69</v>
      </c>
      <c r="P135">
        <v>0.66</v>
      </c>
      <c r="Q135">
        <v>0.67</v>
      </c>
      <c r="R135">
        <v>0.69</v>
      </c>
      <c r="S135">
        <v>0.74</v>
      </c>
      <c r="T135">
        <v>0.71</v>
      </c>
      <c r="U135">
        <v>0.65</v>
      </c>
    </row>
    <row r="136" spans="1:22" x14ac:dyDescent="0.25">
      <c r="B136" s="497" t="s">
        <v>103</v>
      </c>
      <c r="C136" s="498"/>
      <c r="D136" s="498"/>
      <c r="E136" s="498"/>
      <c r="F136" s="498"/>
      <c r="G136" s="36"/>
      <c r="H136" s="37"/>
      <c r="I136" s="37"/>
      <c r="J136" s="37"/>
      <c r="K136" s="76"/>
      <c r="L136" s="76"/>
      <c r="N136">
        <v>0.71</v>
      </c>
      <c r="O136">
        <v>0.67</v>
      </c>
      <c r="P136">
        <v>0.65</v>
      </c>
      <c r="Q136">
        <v>0.65</v>
      </c>
      <c r="R136">
        <v>0.66</v>
      </c>
      <c r="S136">
        <v>0.73</v>
      </c>
      <c r="T136">
        <v>0.69</v>
      </c>
      <c r="U136">
        <v>0.68</v>
      </c>
    </row>
    <row r="137" spans="1:22" x14ac:dyDescent="0.25">
      <c r="B137" s="53">
        <f>(B118*C118)</f>
        <v>129.69999999999999</v>
      </c>
      <c r="C137" s="53">
        <f>(D118*E118)</f>
        <v>349.3</v>
      </c>
      <c r="D137" s="53">
        <f>(F118*G118)</f>
        <v>1279</v>
      </c>
      <c r="E137" s="53">
        <f>(H118*I118)</f>
        <v>2717</v>
      </c>
      <c r="F137" s="54">
        <f>(J118*K118)</f>
        <v>6265</v>
      </c>
      <c r="G137" s="82"/>
      <c r="H137" s="83"/>
      <c r="I137" s="32"/>
      <c r="J137" s="32"/>
      <c r="K137" s="32"/>
      <c r="L137" s="32"/>
      <c r="N137">
        <v>0.7</v>
      </c>
      <c r="O137">
        <v>0.68</v>
      </c>
      <c r="P137">
        <v>0.69</v>
      </c>
      <c r="Q137">
        <v>0.66</v>
      </c>
      <c r="R137">
        <v>0.71</v>
      </c>
    </row>
    <row r="138" spans="1:22" x14ac:dyDescent="0.25">
      <c r="B138" s="53">
        <f>(B119*C119)</f>
        <v>132.30000000000001</v>
      </c>
      <c r="C138" s="53">
        <f>(D119*E119)</f>
        <v>348.6</v>
      </c>
      <c r="D138" s="53">
        <f>(F119*G119)</f>
        <v>1278</v>
      </c>
      <c r="E138" s="53">
        <f>(H119*I119)</f>
        <v>2721</v>
      </c>
      <c r="F138" s="54">
        <f>(J119*K119)</f>
        <v>5015</v>
      </c>
      <c r="G138" s="82"/>
      <c r="H138" s="83"/>
      <c r="I138" s="32"/>
      <c r="J138" s="32"/>
      <c r="K138" s="32"/>
      <c r="L138" s="32"/>
      <c r="N138" s="81">
        <f>AVERAGE(N135:N137)</f>
        <v>0.70666666666666667</v>
      </c>
      <c r="O138" s="81">
        <f>AVERAGE(O135:O137)</f>
        <v>0.68</v>
      </c>
      <c r="P138" s="81">
        <f>AVERAGE(P135:P137)</f>
        <v>0.66666666666666663</v>
      </c>
      <c r="Q138" s="81">
        <f>AVERAGE(Q135:Q137)</f>
        <v>0.66</v>
      </c>
      <c r="R138" s="81">
        <f>AVERAGE(R134:R137)</f>
        <v>0.69</v>
      </c>
      <c r="S138" s="81">
        <f>AVERAGE(S134:S137)</f>
        <v>0.73333333333333339</v>
      </c>
      <c r="T138" s="81">
        <f>AVERAGE(T134:T137)</f>
        <v>0.70333333333333325</v>
      </c>
      <c r="U138" s="81">
        <f>AVERAGE(U134:U137)</f>
        <v>0.67666666666666675</v>
      </c>
      <c r="V138" s="81">
        <f>SUM(N138:U138)</f>
        <v>5.5166666666666666</v>
      </c>
    </row>
    <row r="139" spans="1:22" x14ac:dyDescent="0.25">
      <c r="B139" s="53">
        <f>(B120*C120)</f>
        <v>132</v>
      </c>
      <c r="C139" s="53">
        <f>(D120*E120)</f>
        <v>347.6</v>
      </c>
      <c r="D139" s="53">
        <f>(F120*G120)</f>
        <v>1277</v>
      </c>
      <c r="E139" s="53">
        <f>(H120*I120)</f>
        <v>2719</v>
      </c>
      <c r="F139" s="54">
        <f>(J120*K120)</f>
        <v>6258</v>
      </c>
      <c r="G139" s="82"/>
      <c r="H139" s="83"/>
      <c r="I139" s="32"/>
      <c r="J139" s="32"/>
      <c r="K139" s="32"/>
      <c r="L139" s="32"/>
      <c r="N139">
        <v>4</v>
      </c>
      <c r="O139">
        <v>3</v>
      </c>
      <c r="P139">
        <v>3</v>
      </c>
      <c r="Q139">
        <v>3</v>
      </c>
      <c r="R139">
        <v>5</v>
      </c>
      <c r="S139">
        <v>3</v>
      </c>
      <c r="T139">
        <v>3</v>
      </c>
      <c r="U139">
        <v>3</v>
      </c>
      <c r="V139">
        <f>SUM(N139:U139)</f>
        <v>27</v>
      </c>
    </row>
    <row r="140" spans="1:22" x14ac:dyDescent="0.25">
      <c r="B140" s="53">
        <f>(B121*C121)</f>
        <v>130.29999999999998</v>
      </c>
      <c r="C140" s="53">
        <f>(D121*E121)</f>
        <v>347.50000000000006</v>
      </c>
      <c r="D140" s="53">
        <f>(F121*G121)</f>
        <v>1281</v>
      </c>
      <c r="E140" s="53">
        <f>(H121*I121)</f>
        <v>3262.7999999999997</v>
      </c>
      <c r="F140" s="54">
        <f>(J121*K121)</f>
        <v>6266</v>
      </c>
      <c r="G140" s="84"/>
      <c r="H140" s="84"/>
      <c r="N140">
        <f>+N138*N139</f>
        <v>2.8266666666666667</v>
      </c>
      <c r="O140">
        <f t="shared" ref="O140:U140" si="12">+O138*O139</f>
        <v>2.04</v>
      </c>
      <c r="P140">
        <f t="shared" si="12"/>
        <v>2</v>
      </c>
      <c r="Q140">
        <f t="shared" si="12"/>
        <v>1.98</v>
      </c>
      <c r="R140">
        <f t="shared" si="12"/>
        <v>3.4499999999999997</v>
      </c>
      <c r="S140">
        <f t="shared" si="12"/>
        <v>2.2000000000000002</v>
      </c>
      <c r="T140">
        <f t="shared" si="12"/>
        <v>2.11</v>
      </c>
      <c r="U140">
        <f t="shared" si="12"/>
        <v>2.0300000000000002</v>
      </c>
      <c r="V140">
        <f>SUM(N140:U140)</f>
        <v>18.636666666666667</v>
      </c>
    </row>
    <row r="141" spans="1:22" x14ac:dyDescent="0.25">
      <c r="A141" s="85" t="s">
        <v>103</v>
      </c>
      <c r="B141" s="86">
        <f>SUM(B137:B140)</f>
        <v>524.29999999999995</v>
      </c>
      <c r="C141" s="86">
        <f>SUM(C137:C140)</f>
        <v>1393</v>
      </c>
      <c r="D141" s="86">
        <f>SUM(D137:D140)</f>
        <v>5115</v>
      </c>
      <c r="E141" s="86">
        <f>SUM(E137:E140)</f>
        <v>11419.8</v>
      </c>
      <c r="F141" s="86">
        <f>SUM(F137:F140)</f>
        <v>23804</v>
      </c>
      <c r="G141" s="87"/>
      <c r="H141" s="87"/>
    </row>
    <row r="142" spans="1:22" x14ac:dyDescent="0.25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</row>
    <row r="143" spans="1:22" x14ac:dyDescent="0.25">
      <c r="B143" s="497" t="s">
        <v>104</v>
      </c>
      <c r="C143" s="498"/>
      <c r="D143" s="498"/>
      <c r="E143" s="498"/>
      <c r="F143" s="498"/>
      <c r="G143" s="36"/>
      <c r="H143" s="37"/>
      <c r="I143" s="37"/>
      <c r="J143" s="37"/>
      <c r="K143" s="76"/>
      <c r="L143" s="76"/>
    </row>
    <row r="144" spans="1:22" x14ac:dyDescent="0.25">
      <c r="B144" s="88">
        <f>+C118*B118^2</f>
        <v>3364.4179999999997</v>
      </c>
      <c r="C144" s="88">
        <f>+E118*D118^2</f>
        <v>24402.098000000002</v>
      </c>
      <c r="D144" s="88">
        <f>+G118*F118^2</f>
        <v>327168.2</v>
      </c>
      <c r="E144" s="88">
        <f>+I118*H118^2</f>
        <v>1476417.8</v>
      </c>
      <c r="F144" s="88">
        <f>+K118*J118^2</f>
        <v>7850045</v>
      </c>
      <c r="G144" s="52"/>
      <c r="H144" s="52"/>
    </row>
    <row r="145" spans="1:12" x14ac:dyDescent="0.25">
      <c r="B145" s="88">
        <f>+C119*B119^2</f>
        <v>3500.6580000000004</v>
      </c>
      <c r="C145" s="88">
        <f>+E119*D119^2</f>
        <v>24304.392</v>
      </c>
      <c r="D145" s="88">
        <f>+G119*F119^2</f>
        <v>326656.8</v>
      </c>
      <c r="E145" s="88">
        <f>+I119*H119^2</f>
        <v>1480768.2000000004</v>
      </c>
      <c r="F145" s="88">
        <f>+K119*J119^2</f>
        <v>6287556.25</v>
      </c>
      <c r="G145" s="52"/>
      <c r="H145" s="52"/>
    </row>
    <row r="146" spans="1:12" x14ac:dyDescent="0.25">
      <c r="B146" s="88">
        <f>+C120*B120^2</f>
        <v>3484.7999999999997</v>
      </c>
      <c r="C146" s="88">
        <f>+E120*D120^2</f>
        <v>24165.152000000009</v>
      </c>
      <c r="D146" s="88">
        <f>+G120*F120^2</f>
        <v>326145.80000000005</v>
      </c>
      <c r="E146" s="88">
        <f>+I120*H120^2</f>
        <v>1478592.1999999997</v>
      </c>
      <c r="F146" s="88">
        <f>+K120*J120^2</f>
        <v>7832512.7999999989</v>
      </c>
      <c r="G146" s="52"/>
      <c r="H146" s="52"/>
    </row>
    <row r="147" spans="1:12" x14ac:dyDescent="0.25">
      <c r="B147" s="88">
        <f>+C121*B121^2</f>
        <v>3395.617999999999</v>
      </c>
      <c r="C147" s="88">
        <f>+E121*D121^2</f>
        <v>24151.250000000007</v>
      </c>
      <c r="D147" s="88">
        <f>+G121*F121^2</f>
        <v>328192.19999999995</v>
      </c>
      <c r="E147" s="88">
        <f>+I121*H121^2</f>
        <v>1774310.6399999997</v>
      </c>
      <c r="F147" s="88">
        <f>+K121*J121^2</f>
        <v>7852551.2000000011</v>
      </c>
      <c r="G147" s="52"/>
      <c r="H147" s="52"/>
    </row>
    <row r="148" spans="1:12" x14ac:dyDescent="0.25">
      <c r="A148" s="85" t="s">
        <v>104</v>
      </c>
      <c r="B148" s="89">
        <f>SUM(B144:B147)</f>
        <v>13745.493999999999</v>
      </c>
      <c r="C148" s="89">
        <f>SUM(C144:C147)</f>
        <v>97022.892000000022</v>
      </c>
      <c r="D148" s="89">
        <f>SUM(D144:D147)</f>
        <v>1308163</v>
      </c>
      <c r="E148" s="89">
        <f>SUM(E144:E147)</f>
        <v>6210088.8399999999</v>
      </c>
      <c r="F148" s="89">
        <f>SUM(F144:F147)</f>
        <v>29822665.25</v>
      </c>
      <c r="G148" s="90"/>
      <c r="H148" s="91"/>
    </row>
    <row r="149" spans="1:12" x14ac:dyDescent="0.25">
      <c r="A149" s="85" t="s">
        <v>105</v>
      </c>
      <c r="B149" s="85">
        <f>SUM(C118:C121)</f>
        <v>20</v>
      </c>
      <c r="C149" s="85">
        <f>SUM(E118:E121)</f>
        <v>20</v>
      </c>
      <c r="D149" s="85">
        <f>SUM(G118:G121)</f>
        <v>20</v>
      </c>
      <c r="E149" s="85">
        <f>SUM(I118:I121)</f>
        <v>21</v>
      </c>
      <c r="F149" s="85">
        <f>SUM(K118:K121)</f>
        <v>19</v>
      </c>
      <c r="G149" s="92"/>
      <c r="H149" s="32"/>
    </row>
    <row r="150" spans="1:12" x14ac:dyDescent="0.25">
      <c r="A150" s="85" t="s">
        <v>106</v>
      </c>
      <c r="B150" s="85">
        <f>+SUMSQ(C118:C121)</f>
        <v>100</v>
      </c>
      <c r="C150" s="85">
        <f>+SUMSQ(E118:E121)</f>
        <v>100</v>
      </c>
      <c r="D150" s="85">
        <f>+SUMSQ(G118:G121)</f>
        <v>100</v>
      </c>
      <c r="E150" s="85">
        <f>+SUMSQ(I118:I121)</f>
        <v>111</v>
      </c>
      <c r="F150" s="93">
        <f>+SUMSQ(K118:K121)</f>
        <v>91</v>
      </c>
      <c r="G150" s="92"/>
      <c r="H150" s="32"/>
    </row>
    <row r="151" spans="1:12" s="94" customFormat="1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</row>
    <row r="152" spans="1:12" s="94" customFormat="1" x14ac:dyDescent="0.25">
      <c r="A152" s="32"/>
      <c r="B152" s="499" t="s">
        <v>107</v>
      </c>
      <c r="C152" s="500"/>
      <c r="D152" s="500"/>
      <c r="E152" s="500"/>
      <c r="F152" s="501"/>
      <c r="G152" s="95"/>
      <c r="H152" s="96"/>
      <c r="I152" s="96"/>
      <c r="J152" s="96"/>
      <c r="K152" s="97"/>
      <c r="L152" s="97"/>
    </row>
    <row r="153" spans="1:12" x14ac:dyDescent="0.25">
      <c r="B153" s="88">
        <f>+(C118-1)*B125^2</f>
        <v>0.41200000000000009</v>
      </c>
      <c r="C153" s="88">
        <f>+(E118-1)*D125^2</f>
        <v>0.19200000000000605</v>
      </c>
      <c r="D153" s="88">
        <f>+(G118-1)*F125^2</f>
        <v>0.79999999999999993</v>
      </c>
      <c r="E153" s="88">
        <f>+(I118-1)*H125^2</f>
        <v>1.2000000000000004</v>
      </c>
      <c r="F153" s="88">
        <f>+(K118-1)*J125^2</f>
        <v>22</v>
      </c>
      <c r="G153" s="98"/>
      <c r="H153" s="99"/>
      <c r="I153" s="100"/>
      <c r="J153" s="100"/>
    </row>
    <row r="154" spans="1:12" x14ac:dyDescent="0.25">
      <c r="B154" s="88">
        <f>+(C119-1)*B126^2</f>
        <v>0.5319999999999987</v>
      </c>
      <c r="C154" s="88">
        <f>+(E119-1)*D126^2</f>
        <v>6.7999999999998506E-2</v>
      </c>
      <c r="D154" s="88">
        <f>+(G119-1)*F126^2</f>
        <v>1.1999999999999997</v>
      </c>
      <c r="E154" s="88">
        <f>+(I119-1)*H126^2</f>
        <v>0.79999999999999993</v>
      </c>
      <c r="F154" s="88">
        <f>+(K119-1)*J126^2</f>
        <v>8.9999999999999982</v>
      </c>
      <c r="G154" s="99"/>
      <c r="H154" s="99"/>
    </row>
    <row r="155" spans="1:12" x14ac:dyDescent="0.25">
      <c r="B155" s="88">
        <f>+(C120-1)*B127^2</f>
        <v>0.96000000000000019</v>
      </c>
      <c r="C155" s="88">
        <f>+(E120-1)*D127^2</f>
        <v>6.7999999999997382E-2</v>
      </c>
      <c r="D155" s="88">
        <f>+(G120-1)*F127^2</f>
        <v>1.1999999999999997</v>
      </c>
      <c r="E155" s="88">
        <f>+(I120-1)*H127^2</f>
        <v>0.79999999999999993</v>
      </c>
      <c r="F155" s="88">
        <f>+(K120-1)*J127^2</f>
        <v>3.1999999999999997</v>
      </c>
      <c r="G155" s="99"/>
      <c r="H155" s="99"/>
    </row>
    <row r="156" spans="1:12" x14ac:dyDescent="0.25">
      <c r="B156" s="88">
        <f>+(C121-1)*B128^2</f>
        <v>0.5319999999999997</v>
      </c>
      <c r="C156" s="88">
        <f>+(E121-1)*D128^2</f>
        <v>0.89999999999999725</v>
      </c>
      <c r="D156" s="88">
        <f>+(G121-1)*F128^2</f>
        <v>2.8000000000000003</v>
      </c>
      <c r="E156" s="88">
        <f>+(I121-1)*H128^2</f>
        <v>8.5</v>
      </c>
      <c r="F156" s="88">
        <f>+(K121-1)*J128^2</f>
        <v>16.799999999999997</v>
      </c>
      <c r="G156" s="99"/>
      <c r="H156" s="99"/>
    </row>
    <row r="157" spans="1:12" x14ac:dyDescent="0.25">
      <c r="A157" s="85" t="s">
        <v>107</v>
      </c>
      <c r="B157" s="101">
        <f>SUM(B153:B156)</f>
        <v>2.4359999999999986</v>
      </c>
      <c r="C157" s="101">
        <f>SUM(C153:C156)</f>
        <v>1.2279999999999993</v>
      </c>
      <c r="D157" s="101">
        <f>SUM(D153:D156)</f>
        <v>6</v>
      </c>
      <c r="E157" s="101">
        <f>SUM(E153:E156)</f>
        <v>11.3</v>
      </c>
      <c r="F157" s="101">
        <f>SUM(F153:F156)</f>
        <v>51</v>
      </c>
      <c r="G157" s="102"/>
      <c r="H157" s="102"/>
    </row>
    <row r="158" spans="1:12" x14ac:dyDescent="0.25">
      <c r="A158" s="85" t="s">
        <v>108</v>
      </c>
      <c r="B158" s="101">
        <f>B157/(B149-COUNT(C118:C121))</f>
        <v>0.15224999999999991</v>
      </c>
      <c r="C158" s="101">
        <f>C157/(C149-COUNT(D118:D121))</f>
        <v>7.6749999999999957E-2</v>
      </c>
      <c r="D158" s="101">
        <f>D157/(D149-COUNT(E118:E121))</f>
        <v>0.375</v>
      </c>
      <c r="E158" s="101">
        <f>E157/(E149-COUNT(F118:F121))</f>
        <v>0.66470588235294126</v>
      </c>
      <c r="F158" s="101">
        <f>F157/(F149-COUNT(G118:G121))</f>
        <v>3.4</v>
      </c>
      <c r="G158" s="102"/>
      <c r="H158" s="102"/>
    </row>
    <row r="159" spans="1:12" x14ac:dyDescent="0.25">
      <c r="A159" s="85" t="s">
        <v>109</v>
      </c>
      <c r="B159" s="101">
        <f>+((((B148*B149)-B141^2)/(B149*(COUNT(C118:C121)-1)))-B158)*((B149*(COUNT(C118:C121)-1))/(B149^2-B150))</f>
        <v>3.4183333333573949E-2</v>
      </c>
      <c r="C159" s="101">
        <f>+((((C148*C149)-C141^2)/(C149*(COUNT(E118:E121)-1)))-C158)*((C149*(COUNT(E118:E121)-1))/(C149^2-C150))</f>
        <v>1.4116666667722173E-2</v>
      </c>
      <c r="D159" s="101">
        <f>+((((D148*D149)-D141^2)/(D149*(COUNT(G118:G121)-1)))-D158)*((D149*(COUNT(G118:G121)-1))/(D149^2-D150))</f>
        <v>4.1666666666666678E-2</v>
      </c>
      <c r="E159" s="101">
        <f>+((((E148*E149)-E141^2)/(E149*(COUNT(I118:I121)-1)))-E158)*((E149*(COUNT(I118:I121)-1))/(E149^2-E150))</f>
        <v>-2.5080213831495283E-2</v>
      </c>
      <c r="F159" s="101">
        <f>+((((F148*F149)-F141^2)/(F149*(COUNT(K118:K121)-1)))-F158)*((F149*(COUNT(K118:K121)-1))/(F149^2-F150))</f>
        <v>0.11092592592592597</v>
      </c>
      <c r="G159" s="102"/>
      <c r="H159" s="102"/>
    </row>
    <row r="160" spans="1:12" x14ac:dyDescent="0.25">
      <c r="A160" s="85" t="s">
        <v>153</v>
      </c>
      <c r="B160" s="101">
        <f>SUM(B158:B159)</f>
        <v>0.18643333333357387</v>
      </c>
      <c r="C160" s="101">
        <f>SUM(C158:C159)</f>
        <v>9.0866666667722126E-2</v>
      </c>
      <c r="D160" s="101">
        <f>SUM(D158:D159)</f>
        <v>0.41666666666666669</v>
      </c>
      <c r="E160" s="101">
        <f>SUM(E158:E159)</f>
        <v>0.63962566852144598</v>
      </c>
      <c r="F160" s="101">
        <f>SUM(F158:F159)</f>
        <v>3.510925925925926</v>
      </c>
      <c r="G160" s="102"/>
      <c r="H160" s="102"/>
    </row>
    <row r="164" spans="1:17" x14ac:dyDescent="0.25">
      <c r="A164" t="s">
        <v>110</v>
      </c>
    </row>
    <row r="165" spans="1:17" x14ac:dyDescent="0.25">
      <c r="A165" s="85" t="s">
        <v>111</v>
      </c>
      <c r="B165" s="101">
        <f>((B160-(B158*(1-(1/$E$188)))))/$E$189</f>
        <v>1.1911666666714787E-2</v>
      </c>
      <c r="C165" s="101">
        <f>((C160-(C158*(1-(1/$E$188)))))/$E$189</f>
        <v>5.3816666668777659E-3</v>
      </c>
      <c r="D165" s="101">
        <f>((D160-(D158*(1-(1/$E$188)))))/$E$189</f>
        <v>2.0833333333333336E-2</v>
      </c>
      <c r="E165" s="101">
        <f>((E160-(E158*(1-(1/$E$188)))))/$E$189</f>
        <v>1.7140819978798971E-2</v>
      </c>
      <c r="F165" s="101">
        <f>((F160-(F158*(1-(1/$E$188)))))/$E$189</f>
        <v>0.13551851851851851</v>
      </c>
    </row>
    <row r="166" spans="1:17" x14ac:dyDescent="0.25">
      <c r="A166" s="104" t="s">
        <v>111</v>
      </c>
      <c r="B166" s="101">
        <f>+SQRT(SUMSQ(B165:F165))</f>
        <v>0.13879464862763882</v>
      </c>
      <c r="C166" s="103"/>
    </row>
    <row r="167" spans="1:17" x14ac:dyDescent="0.25">
      <c r="B167" s="105"/>
    </row>
    <row r="168" spans="1:17" x14ac:dyDescent="0.25">
      <c r="B168" s="12">
        <v>9.18624700516672E-2</v>
      </c>
      <c r="C168">
        <v>0.13879464862763882</v>
      </c>
    </row>
    <row r="170" spans="1:17" x14ac:dyDescent="0.25">
      <c r="B170" t="s">
        <v>152</v>
      </c>
      <c r="D170">
        <v>0.98070000000000002</v>
      </c>
    </row>
    <row r="172" spans="1:17" x14ac:dyDescent="0.25">
      <c r="M172" s="71"/>
      <c r="Q172" s="71"/>
    </row>
    <row r="173" spans="1:17" x14ac:dyDescent="0.25">
      <c r="M173" s="81"/>
      <c r="Q173" s="81"/>
    </row>
    <row r="174" spans="1:17" x14ac:dyDescent="0.25">
      <c r="M174" s="81"/>
      <c r="Q174" s="81"/>
    </row>
    <row r="175" spans="1:17" x14ac:dyDescent="0.25">
      <c r="A175" s="106" t="s">
        <v>112</v>
      </c>
      <c r="B175" s="106" t="s">
        <v>113</v>
      </c>
      <c r="C175" s="106" t="s">
        <v>114</v>
      </c>
      <c r="D175" s="106" t="s">
        <v>32</v>
      </c>
      <c r="E175" s="97"/>
      <c r="F175" s="97"/>
    </row>
    <row r="176" spans="1:17" x14ac:dyDescent="0.25">
      <c r="A176" s="77">
        <v>1</v>
      </c>
      <c r="B176" s="107">
        <f>B141/B149</f>
        <v>26.214999999999996</v>
      </c>
      <c r="C176" s="107">
        <f>SQRT(B158)</f>
        <v>0.39019226030253329</v>
      </c>
      <c r="D176" s="107">
        <f>SQRT(B160)</f>
        <v>0.43177926459427607</v>
      </c>
      <c r="E176" s="84"/>
      <c r="F176" s="84"/>
    </row>
    <row r="177" spans="1:21" x14ac:dyDescent="0.25">
      <c r="A177" s="77">
        <v>2</v>
      </c>
      <c r="B177" s="107">
        <f>C141/C149</f>
        <v>69.650000000000006</v>
      </c>
      <c r="C177" s="107">
        <f>SQRT(C158)</f>
        <v>0.27703790354390129</v>
      </c>
      <c r="D177" s="107">
        <f>SQRT(C160)</f>
        <v>0.30144098372272166</v>
      </c>
      <c r="E177" s="84"/>
      <c r="F177" s="84"/>
    </row>
    <row r="178" spans="1:21" x14ac:dyDescent="0.25">
      <c r="A178" s="77">
        <v>3</v>
      </c>
      <c r="B178" s="107">
        <f>D141/D149</f>
        <v>255.75</v>
      </c>
      <c r="C178" s="107">
        <f>SQRT(D158)</f>
        <v>0.61237243569579447</v>
      </c>
      <c r="D178" s="107">
        <f>SQRT(D160)</f>
        <v>0.6454972243679028</v>
      </c>
      <c r="E178" s="84"/>
      <c r="F178" s="84"/>
    </row>
    <row r="179" spans="1:21" x14ac:dyDescent="0.25">
      <c r="A179" s="77">
        <v>4</v>
      </c>
      <c r="B179" s="107">
        <f>E141/E149</f>
        <v>543.79999999999995</v>
      </c>
      <c r="C179" s="107">
        <f>SQRT(E158)</f>
        <v>0.8152949664709952</v>
      </c>
      <c r="D179" s="107">
        <f>SQRT(E160)</f>
        <v>0.79976600860592095</v>
      </c>
      <c r="E179" s="84"/>
      <c r="F179" s="84"/>
    </row>
    <row r="180" spans="1:21" x14ac:dyDescent="0.25">
      <c r="A180" s="77">
        <v>5</v>
      </c>
      <c r="B180" s="107">
        <f>F141/F149</f>
        <v>1252.8421052631579</v>
      </c>
      <c r="C180" s="107">
        <f>SQRT(F158)</f>
        <v>1.8439088914585775</v>
      </c>
      <c r="D180" s="107">
        <f>SQRT(F160)</f>
        <v>1.8737464945733524</v>
      </c>
      <c r="E180" s="84"/>
      <c r="F180" s="84"/>
    </row>
    <row r="183" spans="1:21" ht="15" customHeight="1" x14ac:dyDescent="0.25">
      <c r="A183" s="502" t="s">
        <v>115</v>
      </c>
      <c r="B183" s="502"/>
      <c r="C183" s="502"/>
      <c r="D183" s="502"/>
      <c r="E183" s="502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0"/>
      <c r="T183" s="50"/>
      <c r="U183" s="50"/>
    </row>
    <row r="184" spans="1:21" x14ac:dyDescent="0.25">
      <c r="A184" s="502"/>
      <c r="B184" s="502"/>
      <c r="C184" s="502"/>
      <c r="D184" s="502"/>
      <c r="E184" s="502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0"/>
      <c r="T184" s="50"/>
      <c r="U184" s="50"/>
    </row>
    <row r="185" spans="1:21" x14ac:dyDescent="0.25">
      <c r="A185" s="502"/>
      <c r="B185" s="502"/>
      <c r="C185" s="502"/>
      <c r="D185" s="502"/>
      <c r="E185" s="502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0"/>
      <c r="T185" s="50"/>
      <c r="U185" s="50"/>
    </row>
    <row r="186" spans="1:21" x14ac:dyDescent="0.25">
      <c r="A186" s="502"/>
      <c r="B186" s="502"/>
      <c r="C186" s="502"/>
      <c r="D186" s="502"/>
      <c r="E186" s="502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0"/>
      <c r="T186" s="50"/>
      <c r="U186" s="50"/>
    </row>
    <row r="188" spans="1:21" x14ac:dyDescent="0.25">
      <c r="A188" s="108" t="s">
        <v>114</v>
      </c>
      <c r="B188" s="81"/>
      <c r="C188" t="s">
        <v>86</v>
      </c>
      <c r="E188" s="12">
        <f>+C1</f>
        <v>6</v>
      </c>
    </row>
    <row r="189" spans="1:21" x14ac:dyDescent="0.25">
      <c r="A189" t="s">
        <v>116</v>
      </c>
      <c r="C189" t="s">
        <v>117</v>
      </c>
      <c r="E189" s="12">
        <f>+C2</f>
        <v>5</v>
      </c>
    </row>
    <row r="191" spans="1:21" x14ac:dyDescent="0.25">
      <c r="A191" s="5" t="s">
        <v>113</v>
      </c>
      <c r="B191" s="34">
        <f>B176</f>
        <v>26.214999999999996</v>
      </c>
      <c r="C191" s="34">
        <f>B177</f>
        <v>69.650000000000006</v>
      </c>
      <c r="D191" s="34">
        <f>B178</f>
        <v>255.75</v>
      </c>
      <c r="E191" s="34">
        <f>B179</f>
        <v>543.79999999999995</v>
      </c>
      <c r="F191" s="34">
        <f>B180</f>
        <v>1252.8421052631579</v>
      </c>
      <c r="G191" s="35"/>
      <c r="H191" s="35"/>
    </row>
    <row r="192" spans="1:21" x14ac:dyDescent="0.25">
      <c r="A192" s="5" t="s">
        <v>114</v>
      </c>
      <c r="B192" s="109">
        <f>C176</f>
        <v>0.39019226030253329</v>
      </c>
      <c r="C192" s="109">
        <f>C177</f>
        <v>0.27703790354390129</v>
      </c>
      <c r="D192" s="109">
        <f>C178</f>
        <v>0.61237243569579447</v>
      </c>
      <c r="E192" s="109">
        <f>C179</f>
        <v>0.8152949664709952</v>
      </c>
      <c r="F192" s="109">
        <f>C180</f>
        <v>1.8439088914585775</v>
      </c>
      <c r="G192" s="110"/>
      <c r="H192" s="110"/>
    </row>
    <row r="193" spans="1:12" x14ac:dyDescent="0.25">
      <c r="A193" s="5" t="s">
        <v>118</v>
      </c>
      <c r="B193" s="111">
        <f>B192/B191</f>
        <v>1.488431280955687E-2</v>
      </c>
      <c r="C193" s="111">
        <f>C192/C191</f>
        <v>3.9775721973280874E-3</v>
      </c>
      <c r="D193" s="111">
        <f>D192/D191</f>
        <v>2.3944181258877596E-3</v>
      </c>
      <c r="E193" s="111">
        <f>E192/E191</f>
        <v>1.499255179240521E-3</v>
      </c>
      <c r="F193" s="111">
        <f>F192/F191</f>
        <v>1.471780748517601E-3</v>
      </c>
      <c r="G193" s="112"/>
      <c r="H193" s="112"/>
    </row>
    <row r="194" spans="1:12" x14ac:dyDescent="0.25">
      <c r="A194" s="5" t="s">
        <v>119</v>
      </c>
      <c r="B194" s="503">
        <f>SUM(B192:F192/E189)</f>
        <v>7.8038452060506663E-2</v>
      </c>
      <c r="C194" s="504"/>
      <c r="D194" s="504"/>
      <c r="E194" s="504"/>
      <c r="F194" s="505"/>
      <c r="G194" s="113"/>
      <c r="H194" s="114"/>
      <c r="I194" s="114"/>
      <c r="J194" s="114"/>
      <c r="K194" s="115"/>
      <c r="L194" s="115"/>
    </row>
    <row r="195" spans="1:12" x14ac:dyDescent="0.25">
      <c r="A195" s="116" t="s">
        <v>150</v>
      </c>
      <c r="B195" s="111">
        <f>$B$194*B191</f>
        <v>2.045778020766182</v>
      </c>
      <c r="C195" s="111">
        <f>$B$194*C191</f>
        <v>5.4353781860142893</v>
      </c>
      <c r="D195" s="111">
        <f>$B$194*D191</f>
        <v>19.958334114474578</v>
      </c>
      <c r="E195" s="111">
        <f>$B$194*E191</f>
        <v>42.43731023050352</v>
      </c>
      <c r="F195" s="111">
        <f>$B$194*F191</f>
        <v>97.769858570963194</v>
      </c>
      <c r="G195" s="110"/>
      <c r="H195" s="110"/>
    </row>
    <row r="202" spans="1:12" ht="18.75" x14ac:dyDescent="0.3">
      <c r="A202" s="117"/>
      <c r="B202" s="118" t="s">
        <v>120</v>
      </c>
      <c r="C202" s="117"/>
      <c r="D202" s="119"/>
      <c r="E202" s="120"/>
      <c r="F202" s="120"/>
      <c r="G202" s="121"/>
      <c r="H202" s="122"/>
    </row>
    <row r="203" spans="1:12" ht="18" x14ac:dyDescent="0.25">
      <c r="A203" s="123"/>
      <c r="B203" s="123"/>
      <c r="C203" s="123"/>
      <c r="D203" s="124"/>
      <c r="E203" s="124"/>
      <c r="F203" s="125"/>
      <c r="G203" s="122"/>
    </row>
    <row r="204" spans="1:12" ht="18" x14ac:dyDescent="0.25">
      <c r="A204" s="123"/>
      <c r="B204" s="123"/>
      <c r="C204" s="123"/>
      <c r="D204" s="124"/>
      <c r="E204" s="124"/>
      <c r="F204" s="124"/>
      <c r="G204" s="126"/>
    </row>
    <row r="205" spans="1:12" x14ac:dyDescent="0.25">
      <c r="A205" s="123"/>
      <c r="B205" s="123"/>
      <c r="C205" s="123"/>
      <c r="D205" s="123" t="s">
        <v>121</v>
      </c>
      <c r="E205" s="123"/>
      <c r="F205" s="123"/>
      <c r="G205" s="127"/>
    </row>
    <row r="206" spans="1:12" ht="15.75" thickBot="1" x14ac:dyDescent="0.3">
      <c r="A206" s="127"/>
      <c r="B206" s="127"/>
      <c r="C206" s="127"/>
      <c r="D206" s="127"/>
      <c r="E206" s="127"/>
      <c r="F206" s="127"/>
      <c r="G206" s="127"/>
    </row>
    <row r="207" spans="1:12" x14ac:dyDescent="0.25">
      <c r="A207" s="119"/>
      <c r="B207" s="119"/>
      <c r="C207" s="119"/>
      <c r="D207" s="119"/>
      <c r="E207" s="119"/>
      <c r="F207" s="119"/>
      <c r="G207" s="119"/>
      <c r="I207" s="1"/>
      <c r="J207" s="1"/>
      <c r="K207" s="1"/>
      <c r="L207" s="1"/>
    </row>
    <row r="208" spans="1:12" ht="15.75" thickBot="1" x14ac:dyDescent="0.3">
      <c r="A208" s="127"/>
      <c r="B208" s="127" t="s">
        <v>122</v>
      </c>
      <c r="C208" s="127"/>
      <c r="D208" s="127"/>
      <c r="E208" s="127"/>
      <c r="F208" s="127"/>
      <c r="G208" s="127"/>
      <c r="I208" s="2"/>
      <c r="J208" s="2"/>
      <c r="K208" s="2"/>
      <c r="L208" s="2"/>
    </row>
    <row r="209" spans="1:16" ht="15.75" thickTop="1" x14ac:dyDescent="0.25">
      <c r="A209" s="127"/>
      <c r="B209" s="506" t="s">
        <v>123</v>
      </c>
      <c r="C209" s="507"/>
      <c r="D209" s="508"/>
      <c r="E209" s="128" t="s">
        <v>124</v>
      </c>
      <c r="F209" s="128">
        <f>ABS(F210)*SQRT(F212-2)/SQRT(1-F211)</f>
        <v>10.358287389673004</v>
      </c>
      <c r="G209" s="129"/>
      <c r="I209" s="2"/>
      <c r="J209" s="2"/>
      <c r="K209" s="2"/>
      <c r="L209" s="2"/>
    </row>
    <row r="210" spans="1:16" ht="15.75" thickBot="1" x14ac:dyDescent="0.3">
      <c r="A210" s="127"/>
      <c r="B210" s="477"/>
      <c r="C210" s="478"/>
      <c r="D210" s="479"/>
      <c r="E210" s="130" t="s">
        <v>125</v>
      </c>
      <c r="F210" s="130">
        <f>SQRT(F211)</f>
        <v>0.98630624047503623</v>
      </c>
      <c r="G210" s="129"/>
      <c r="I210" s="3"/>
      <c r="J210" s="3"/>
      <c r="K210" s="3"/>
      <c r="L210" s="3"/>
    </row>
    <row r="211" spans="1:16" x14ac:dyDescent="0.25">
      <c r="A211" s="127"/>
      <c r="B211" s="477" t="s">
        <v>126</v>
      </c>
      <c r="C211" s="478"/>
      <c r="D211" s="479"/>
      <c r="E211" s="130" t="s">
        <v>127</v>
      </c>
      <c r="F211" s="130">
        <v>0.9728</v>
      </c>
      <c r="G211" s="129"/>
    </row>
    <row r="212" spans="1:16" x14ac:dyDescent="0.25">
      <c r="A212" s="119"/>
      <c r="B212" s="477" t="s">
        <v>128</v>
      </c>
      <c r="C212" s="478"/>
      <c r="D212" s="479"/>
      <c r="E212" s="130" t="s">
        <v>47</v>
      </c>
      <c r="F212" s="131">
        <f>+E189</f>
        <v>5</v>
      </c>
      <c r="G212" s="129"/>
    </row>
    <row r="213" spans="1:16" x14ac:dyDescent="0.25">
      <c r="A213" s="127"/>
      <c r="B213" s="480" t="s">
        <v>129</v>
      </c>
      <c r="C213" s="481"/>
      <c r="D213" s="482"/>
      <c r="E213" s="486" t="s">
        <v>130</v>
      </c>
      <c r="F213" s="486">
        <f>TINV(0.05,(F212-1))</f>
        <v>2.7764451051977934</v>
      </c>
      <c r="G213" s="129"/>
    </row>
    <row r="214" spans="1:16" x14ac:dyDescent="0.25">
      <c r="A214" s="127"/>
      <c r="B214" s="483"/>
      <c r="C214" s="484"/>
      <c r="D214" s="485"/>
      <c r="E214" s="487"/>
      <c r="F214" s="487"/>
      <c r="G214" s="129"/>
    </row>
    <row r="215" spans="1:16" ht="15.75" thickBot="1" x14ac:dyDescent="0.3">
      <c r="A215" s="117"/>
      <c r="B215" s="488" t="s">
        <v>131</v>
      </c>
      <c r="C215" s="489"/>
      <c r="D215" s="490"/>
      <c r="E215" s="132" t="s">
        <v>132</v>
      </c>
      <c r="F215" s="133" t="str">
        <f>IF(F209&gt;F213,"Satisfactorio","N Satisfcatorio")</f>
        <v>Satisfactorio</v>
      </c>
      <c r="G215" s="129"/>
    </row>
    <row r="216" spans="1:16" ht="16.5" thickTop="1" x14ac:dyDescent="0.25">
      <c r="A216" s="117"/>
      <c r="B216" s="122"/>
      <c r="C216" s="117"/>
      <c r="D216" s="134"/>
      <c r="E216" s="117"/>
      <c r="F216" s="117"/>
      <c r="G216" s="117"/>
    </row>
    <row r="217" spans="1:16" ht="15.75" x14ac:dyDescent="0.25">
      <c r="A217" s="117"/>
      <c r="B217" s="117"/>
      <c r="C217" s="118" t="s">
        <v>133</v>
      </c>
      <c r="D217" s="122"/>
      <c r="E217" s="117"/>
      <c r="F217" s="122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1:16" x14ac:dyDescent="0.25">
      <c r="A218" s="117"/>
      <c r="B218" s="117" t="s">
        <v>134</v>
      </c>
      <c r="C218" s="117" t="s">
        <v>135</v>
      </c>
      <c r="D218" s="117"/>
      <c r="F218" s="117"/>
      <c r="G218" s="117"/>
      <c r="I218" s="117"/>
      <c r="J218" s="117"/>
      <c r="K218" s="117"/>
    </row>
    <row r="219" spans="1:16" ht="15.75" x14ac:dyDescent="0.25">
      <c r="A219" s="117"/>
      <c r="B219" s="134" t="s">
        <v>136</v>
      </c>
      <c r="C219" s="117"/>
      <c r="D219" s="117"/>
      <c r="E219" s="117"/>
      <c r="F219" s="117"/>
      <c r="G219" s="117"/>
      <c r="I219" s="117"/>
      <c r="J219" s="117"/>
      <c r="K219" s="117"/>
    </row>
    <row r="220" spans="1:16" ht="15.75" x14ac:dyDescent="0.25">
      <c r="A220" s="117"/>
      <c r="B220" s="491" t="s">
        <v>137</v>
      </c>
      <c r="C220" s="492"/>
      <c r="D220" s="491" t="s">
        <v>138</v>
      </c>
      <c r="E220" s="492"/>
      <c r="F220" s="134"/>
      <c r="G220" s="134"/>
      <c r="H220" s="117"/>
      <c r="I220" s="117"/>
      <c r="J220" s="117"/>
      <c r="K220" s="117"/>
      <c r="L220" s="117"/>
      <c r="M220" s="117"/>
      <c r="N220" s="117"/>
      <c r="O220" s="117"/>
      <c r="P220" s="117"/>
    </row>
    <row r="221" spans="1:16" ht="15.75" x14ac:dyDescent="0.25">
      <c r="A221" s="117"/>
      <c r="B221" s="491" t="s">
        <v>139</v>
      </c>
      <c r="C221" s="493"/>
      <c r="D221" s="493"/>
      <c r="E221" s="492"/>
      <c r="F221" s="135">
        <f>+C1</f>
        <v>6</v>
      </c>
      <c r="G221" s="134"/>
      <c r="H221" s="117"/>
      <c r="I221" s="117"/>
      <c r="J221" s="117"/>
      <c r="K221" s="117"/>
      <c r="L221" s="117"/>
      <c r="O221" s="117"/>
      <c r="P221" s="117"/>
    </row>
    <row r="222" spans="1:16" ht="15.75" x14ac:dyDescent="0.25">
      <c r="A222" s="117"/>
      <c r="B222" s="130" t="s">
        <v>140</v>
      </c>
      <c r="C222" s="494">
        <f>+F221</f>
        <v>6</v>
      </c>
      <c r="D222" s="495"/>
      <c r="E222" s="496"/>
      <c r="F222" s="122"/>
      <c r="G222" s="134"/>
      <c r="H222" s="117"/>
      <c r="I222" s="117"/>
      <c r="J222" s="117"/>
      <c r="K222" s="117"/>
      <c r="L222" s="117"/>
      <c r="O222" s="117"/>
      <c r="P222" s="117"/>
    </row>
    <row r="223" spans="1:16" ht="15.75" x14ac:dyDescent="0.25">
      <c r="A223" s="117"/>
      <c r="B223" s="130" t="s">
        <v>48</v>
      </c>
      <c r="C223" s="474">
        <f>TINV(0.05,C222-1)*SQRT(2)</f>
        <v>3.6353516951468032</v>
      </c>
      <c r="D223" s="475"/>
      <c r="E223" s="476"/>
      <c r="F223" s="122"/>
      <c r="G223" s="134"/>
      <c r="H223" s="117"/>
      <c r="I223" s="117"/>
      <c r="J223" s="117"/>
      <c r="K223" s="117"/>
      <c r="L223" s="117"/>
      <c r="O223" s="117"/>
      <c r="P223" s="117"/>
    </row>
    <row r="224" spans="1:16" ht="15.75" x14ac:dyDescent="0.25">
      <c r="A224" s="117"/>
      <c r="B224" s="130" t="s">
        <v>48</v>
      </c>
      <c r="C224" s="130">
        <f>+C223</f>
        <v>3.6353516951468032</v>
      </c>
      <c r="D224" s="469" t="s">
        <v>114</v>
      </c>
      <c r="E224" s="470"/>
      <c r="F224" s="122"/>
      <c r="G224" s="134"/>
      <c r="H224" s="117"/>
      <c r="I224" s="117"/>
      <c r="J224" s="117"/>
      <c r="K224" s="117"/>
      <c r="L224" s="117"/>
      <c r="M224" s="117"/>
      <c r="N224" s="117"/>
      <c r="O224" s="117"/>
      <c r="P224" s="117"/>
    </row>
    <row r="225" spans="1:16" ht="15.75" x14ac:dyDescent="0.25">
      <c r="A225" s="117"/>
      <c r="B225" s="134" t="s">
        <v>141</v>
      </c>
      <c r="C225" s="117"/>
      <c r="D225" s="122"/>
      <c r="E225" s="117"/>
      <c r="F225" s="122"/>
      <c r="G225" s="134"/>
      <c r="H225" s="117"/>
      <c r="I225" s="117"/>
      <c r="J225" s="117"/>
      <c r="K225" s="117"/>
      <c r="L225" s="117"/>
      <c r="M225" s="117"/>
      <c r="N225" s="117"/>
      <c r="O225" s="117"/>
      <c r="P225" s="117"/>
    </row>
    <row r="226" spans="1:16" ht="15.75" x14ac:dyDescent="0.25">
      <c r="A226" s="117"/>
      <c r="B226" s="471" t="s">
        <v>142</v>
      </c>
      <c r="C226" s="471"/>
      <c r="D226" s="471"/>
      <c r="E226" s="117"/>
      <c r="F226" s="134"/>
      <c r="G226" s="134"/>
      <c r="H226" s="136"/>
      <c r="I226" s="117"/>
      <c r="J226" s="117"/>
      <c r="K226" s="117"/>
      <c r="L226" s="117"/>
      <c r="M226" s="117"/>
      <c r="N226" s="117"/>
      <c r="O226" s="117"/>
      <c r="P226" s="117"/>
    </row>
    <row r="227" spans="1:16" ht="15.75" x14ac:dyDescent="0.25">
      <c r="A227" s="117"/>
      <c r="B227" s="137" t="s">
        <v>143</v>
      </c>
      <c r="C227" s="472">
        <f>+W10</f>
        <v>1253</v>
      </c>
      <c r="D227" s="472"/>
      <c r="G227" s="134"/>
      <c r="H227" s="138"/>
      <c r="I227" s="117"/>
      <c r="J227" s="117"/>
      <c r="K227" s="117"/>
      <c r="L227" s="117"/>
      <c r="M227" s="117"/>
      <c r="N227" s="117"/>
      <c r="O227" s="117"/>
      <c r="P227" s="117"/>
    </row>
    <row r="228" spans="1:16" ht="15.75" x14ac:dyDescent="0.25">
      <c r="A228" s="117"/>
      <c r="B228" s="137" t="s">
        <v>144</v>
      </c>
      <c r="C228" s="472">
        <f>+F24</f>
        <v>1251.5999999999999</v>
      </c>
      <c r="D228" s="472"/>
      <c r="G228" s="134"/>
      <c r="H228" s="122"/>
      <c r="I228" s="117"/>
      <c r="J228" s="117"/>
      <c r="K228" s="117"/>
      <c r="L228" s="117"/>
      <c r="M228" s="117"/>
      <c r="N228" s="117"/>
      <c r="O228" s="117"/>
      <c r="P228" s="117"/>
    </row>
    <row r="229" spans="1:16" ht="15.75" x14ac:dyDescent="0.25">
      <c r="A229" s="117"/>
      <c r="B229" s="137" t="s">
        <v>145</v>
      </c>
      <c r="C229" s="473">
        <f>ABS(C227-C228)</f>
        <v>1.4000000000000909</v>
      </c>
      <c r="D229" s="473"/>
      <c r="G229" s="134"/>
      <c r="H229" s="139"/>
      <c r="I229" s="117"/>
      <c r="J229" s="117"/>
      <c r="K229" s="117"/>
      <c r="L229" s="117"/>
      <c r="M229" s="117"/>
      <c r="N229" s="117"/>
      <c r="O229" s="117"/>
      <c r="P229" s="117"/>
    </row>
    <row r="230" spans="1:16" ht="15.75" x14ac:dyDescent="0.25">
      <c r="A230" s="117"/>
      <c r="B230" s="137" t="s">
        <v>125</v>
      </c>
      <c r="C230" s="473">
        <f>C224*(0.0012*AVERAGE(C227:C228)+0.2959)</f>
        <v>6.5387616799927493</v>
      </c>
      <c r="D230" s="473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</row>
    <row r="231" spans="1:16" x14ac:dyDescent="0.25">
      <c r="A231" s="117"/>
      <c r="B231" s="137" t="s">
        <v>146</v>
      </c>
      <c r="C231" s="468" t="str">
        <f>IF(C229&lt;C230,"Satisfactorio","N Satisfcatorio")</f>
        <v>Satisfactorio</v>
      </c>
      <c r="D231" s="468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</row>
  </sheetData>
  <mergeCells count="56">
    <mergeCell ref="A7:A8"/>
    <mergeCell ref="A73:A74"/>
    <mergeCell ref="B73:F73"/>
    <mergeCell ref="A20:A21"/>
    <mergeCell ref="B20:F20"/>
    <mergeCell ref="A27:A28"/>
    <mergeCell ref="B27:F27"/>
    <mergeCell ref="B37:F37"/>
    <mergeCell ref="B40:F40"/>
    <mergeCell ref="A44:A45"/>
    <mergeCell ref="B44:F44"/>
    <mergeCell ref="J44:M44"/>
    <mergeCell ref="A51:B51"/>
    <mergeCell ref="A66:R69"/>
    <mergeCell ref="A82:A83"/>
    <mergeCell ref="J82:K82"/>
    <mergeCell ref="A90:B90"/>
    <mergeCell ref="A108:A109"/>
    <mergeCell ref="A115:A117"/>
    <mergeCell ref="B115:C115"/>
    <mergeCell ref="D115:E115"/>
    <mergeCell ref="F115:G115"/>
    <mergeCell ref="H115:I115"/>
    <mergeCell ref="J115:K115"/>
    <mergeCell ref="L115:O115"/>
    <mergeCell ref="P115:S115"/>
    <mergeCell ref="B124:C124"/>
    <mergeCell ref="D124:E124"/>
    <mergeCell ref="F124:G124"/>
    <mergeCell ref="H124:I124"/>
    <mergeCell ref="J124:K124"/>
    <mergeCell ref="F213:F214"/>
    <mergeCell ref="B136:F136"/>
    <mergeCell ref="B143:F143"/>
    <mergeCell ref="B152:F152"/>
    <mergeCell ref="A183:E186"/>
    <mergeCell ref="B194:F194"/>
    <mergeCell ref="B209:D209"/>
    <mergeCell ref="C223:E223"/>
    <mergeCell ref="B210:D210"/>
    <mergeCell ref="B211:D211"/>
    <mergeCell ref="B212:D212"/>
    <mergeCell ref="B213:D214"/>
    <mergeCell ref="E213:E214"/>
    <mergeCell ref="B215:D215"/>
    <mergeCell ref="B220:C220"/>
    <mergeCell ref="D220:E220"/>
    <mergeCell ref="B221:E221"/>
    <mergeCell ref="C222:E222"/>
    <mergeCell ref="C231:D231"/>
    <mergeCell ref="D224:E224"/>
    <mergeCell ref="B226:D226"/>
    <mergeCell ref="C227:D227"/>
    <mergeCell ref="C228:D228"/>
    <mergeCell ref="C229:D229"/>
    <mergeCell ref="C230:D230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92D050"/>
  </sheetPr>
  <dimension ref="A1:IO221"/>
  <sheetViews>
    <sheetView showGridLines="0" tabSelected="1" view="pageBreakPreview" zoomScale="90" zoomScaleNormal="10" zoomScaleSheetLayoutView="90" workbookViewId="0">
      <selection activeCell="D6" sqref="D6:H6"/>
    </sheetView>
  </sheetViews>
  <sheetFormatPr baseColWidth="10" defaultRowHeight="15" x14ac:dyDescent="0.2"/>
  <cols>
    <col min="1" max="1" width="11.42578125" style="151"/>
    <col min="2" max="2" width="13.5703125" style="151" customWidth="1"/>
    <col min="3" max="3" width="16" style="151" customWidth="1"/>
    <col min="4" max="4" width="12.7109375" style="151" customWidth="1"/>
    <col min="5" max="5" width="14.140625" style="151" customWidth="1"/>
    <col min="6" max="7" width="12.7109375" style="151" customWidth="1"/>
    <col min="8" max="10" width="11.7109375" style="151" customWidth="1"/>
    <col min="11" max="14" width="12.7109375" style="151" customWidth="1"/>
    <col min="15" max="16" width="11.7109375" style="151" customWidth="1"/>
    <col min="17" max="20" width="12.7109375" style="151" customWidth="1"/>
    <col min="21" max="21" width="19.7109375" style="151" customWidth="1"/>
    <col min="22" max="22" width="23.85546875" style="151" customWidth="1"/>
    <col min="23" max="23" width="6" style="151" customWidth="1"/>
    <col min="24" max="24" width="7.140625" style="151" customWidth="1"/>
    <col min="25" max="25" width="6.28515625" style="151" customWidth="1"/>
    <col min="26" max="26" width="14.42578125" style="151" customWidth="1"/>
    <col min="27" max="27" width="10.28515625" style="151" customWidth="1"/>
    <col min="28" max="28" width="15.140625" style="151" bestFit="1" customWidth="1"/>
    <col min="29" max="16384" width="11.42578125" style="151"/>
  </cols>
  <sheetData>
    <row r="1" spans="1:37" ht="15.75" thickBot="1" x14ac:dyDescent="0.25"/>
    <row r="2" spans="1:37" s="402" customFormat="1" ht="20.100000000000001" customHeight="1" x14ac:dyDescent="0.2">
      <c r="A2" s="728"/>
      <c r="B2" s="729"/>
      <c r="C2" s="730"/>
      <c r="D2" s="738" t="s">
        <v>198</v>
      </c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739"/>
      <c r="AE2" s="739"/>
      <c r="AF2" s="739"/>
      <c r="AG2" s="739"/>
      <c r="AH2" s="739"/>
      <c r="AI2" s="739"/>
      <c r="AJ2" s="740"/>
      <c r="AK2" s="406"/>
    </row>
    <row r="3" spans="1:37" s="402" customFormat="1" ht="20.100000000000001" customHeight="1" x14ac:dyDescent="0.2">
      <c r="A3" s="731"/>
      <c r="B3" s="732"/>
      <c r="C3" s="733"/>
      <c r="D3" s="741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3"/>
      <c r="AK3" s="406"/>
    </row>
    <row r="4" spans="1:37" s="402" customFormat="1" ht="20.100000000000001" customHeight="1" thickBot="1" x14ac:dyDescent="0.25">
      <c r="A4" s="734"/>
      <c r="B4" s="735"/>
      <c r="C4" s="736"/>
      <c r="D4" s="744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  <c r="AB4" s="745"/>
      <c r="AC4" s="745"/>
      <c r="AD4" s="745"/>
      <c r="AE4" s="745"/>
      <c r="AF4" s="745"/>
      <c r="AG4" s="745"/>
      <c r="AH4" s="745"/>
      <c r="AI4" s="745"/>
      <c r="AJ4" s="746"/>
      <c r="AK4" s="406"/>
    </row>
    <row r="5" spans="1:37" s="402" customFormat="1" ht="20.25" customHeight="1" thickBot="1" x14ac:dyDescent="0.25">
      <c r="A5" s="737"/>
      <c r="B5" s="737"/>
      <c r="C5" s="737"/>
      <c r="D5" s="737"/>
      <c r="E5" s="737"/>
      <c r="F5" s="737"/>
      <c r="G5" s="737"/>
      <c r="H5" s="737"/>
      <c r="I5" s="737"/>
      <c r="J5" s="737"/>
    </row>
    <row r="6" spans="1:37" s="402" customFormat="1" ht="36.75" customHeight="1" thickBot="1" x14ac:dyDescent="0.25">
      <c r="A6" s="709" t="s">
        <v>170</v>
      </c>
      <c r="B6" s="711"/>
      <c r="C6" s="710"/>
      <c r="D6" s="747"/>
      <c r="E6" s="748"/>
      <c r="F6" s="748"/>
      <c r="G6" s="748"/>
      <c r="H6" s="749"/>
      <c r="I6" s="709" t="s">
        <v>171</v>
      </c>
      <c r="J6" s="711"/>
      <c r="K6" s="711"/>
      <c r="L6" s="710"/>
      <c r="M6" s="750"/>
      <c r="N6" s="751"/>
      <c r="O6" s="751"/>
      <c r="P6" s="751"/>
      <c r="Q6" s="751"/>
      <c r="R6" s="752"/>
      <c r="S6" s="709" t="s">
        <v>172</v>
      </c>
      <c r="T6" s="710"/>
      <c r="U6" s="712"/>
      <c r="V6" s="713"/>
      <c r="W6" s="713"/>
      <c r="X6" s="713"/>
      <c r="Y6" s="713"/>
      <c r="Z6" s="714"/>
      <c r="AA6" s="718" t="s">
        <v>176</v>
      </c>
      <c r="AB6" s="719"/>
      <c r="AC6" s="719"/>
      <c r="AD6" s="719"/>
      <c r="AE6" s="722"/>
      <c r="AF6" s="723"/>
      <c r="AG6" s="723"/>
      <c r="AH6" s="723"/>
      <c r="AI6" s="723"/>
      <c r="AJ6" s="724"/>
    </row>
    <row r="7" spans="1:37" s="402" customFormat="1" ht="36" customHeight="1" thickBot="1" x14ac:dyDescent="0.25">
      <c r="A7" s="709" t="s">
        <v>174</v>
      </c>
      <c r="B7" s="711"/>
      <c r="C7" s="710"/>
      <c r="D7" s="747"/>
      <c r="E7" s="748"/>
      <c r="F7" s="748"/>
      <c r="G7" s="748"/>
      <c r="H7" s="749"/>
      <c r="I7" s="709" t="s">
        <v>175</v>
      </c>
      <c r="J7" s="711"/>
      <c r="K7" s="711"/>
      <c r="L7" s="710"/>
      <c r="M7" s="747"/>
      <c r="N7" s="748"/>
      <c r="O7" s="748"/>
      <c r="P7" s="748"/>
      <c r="Q7" s="748"/>
      <c r="R7" s="749"/>
      <c r="S7" s="709" t="s">
        <v>173</v>
      </c>
      <c r="T7" s="710"/>
      <c r="U7" s="715"/>
      <c r="V7" s="716"/>
      <c r="W7" s="716"/>
      <c r="X7" s="716"/>
      <c r="Y7" s="716"/>
      <c r="Z7" s="717"/>
      <c r="AA7" s="720"/>
      <c r="AB7" s="721"/>
      <c r="AC7" s="721"/>
      <c r="AD7" s="721"/>
      <c r="AE7" s="725"/>
      <c r="AF7" s="726"/>
      <c r="AG7" s="726"/>
      <c r="AH7" s="726"/>
      <c r="AI7" s="726"/>
      <c r="AJ7" s="727"/>
    </row>
    <row r="8" spans="1:37" ht="15.75" customHeight="1" x14ac:dyDescent="0.2">
      <c r="A8" s="524"/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6"/>
    </row>
    <row r="9" spans="1:37" ht="15.75" customHeight="1" x14ac:dyDescent="0.2">
      <c r="A9" s="524"/>
      <c r="B9" s="525"/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6"/>
    </row>
    <row r="10" spans="1:37" ht="15.75" customHeight="1" thickBot="1" x14ac:dyDescent="0.25">
      <c r="A10" s="527"/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9"/>
    </row>
    <row r="11" spans="1:37" ht="15.75" thickBot="1" x14ac:dyDescent="0.25"/>
    <row r="12" spans="1:37" ht="35.1" customHeight="1" thickBot="1" x14ac:dyDescent="0.25">
      <c r="B12" s="530" t="s">
        <v>65</v>
      </c>
      <c r="C12" s="531"/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  <c r="Z12" s="531"/>
      <c r="AA12" s="531"/>
      <c r="AB12" s="531"/>
      <c r="AC12" s="531"/>
      <c r="AD12" s="531"/>
      <c r="AE12" s="531"/>
      <c r="AF12" s="531"/>
      <c r="AG12" s="531"/>
      <c r="AH12" s="531"/>
      <c r="AI12" s="531"/>
      <c r="AJ12" s="532"/>
    </row>
    <row r="13" spans="1:37" s="170" customFormat="1" ht="15.75" x14ac:dyDescent="0.25"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</row>
    <row r="14" spans="1:37" x14ac:dyDescent="0.2">
      <c r="T14" s="152"/>
      <c r="U14" s="152"/>
      <c r="V14" s="152"/>
    </row>
    <row r="15" spans="1:37" ht="15.75" thickBot="1" x14ac:dyDescent="0.25">
      <c r="T15" s="152"/>
      <c r="U15" s="152"/>
      <c r="V15" s="152"/>
    </row>
    <row r="16" spans="1:37" ht="15.75" thickBot="1" x14ac:dyDescent="0.25">
      <c r="T16" s="226"/>
      <c r="U16" s="348" t="s">
        <v>166</v>
      </c>
      <c r="V16" s="152"/>
    </row>
    <row r="17" spans="1:36" x14ac:dyDescent="0.2">
      <c r="T17" s="206" t="s">
        <v>8</v>
      </c>
      <c r="U17" s="217"/>
      <c r="V17" s="152"/>
    </row>
    <row r="18" spans="1:36" x14ac:dyDescent="0.2">
      <c r="T18" s="207" t="s">
        <v>9</v>
      </c>
      <c r="U18" s="217"/>
      <c r="V18" s="152"/>
    </row>
    <row r="19" spans="1:36" x14ac:dyDescent="0.2">
      <c r="T19" s="207" t="s">
        <v>10</v>
      </c>
      <c r="U19" s="217"/>
      <c r="V19" s="152"/>
    </row>
    <row r="20" spans="1:36" x14ac:dyDescent="0.2">
      <c r="T20" s="207"/>
      <c r="U20" s="217"/>
      <c r="V20" s="176"/>
    </row>
    <row r="21" spans="1:36" x14ac:dyDescent="0.2">
      <c r="T21" s="207"/>
      <c r="U21" s="217"/>
      <c r="V21" s="176"/>
    </row>
    <row r="22" spans="1:36" ht="15.75" thickBot="1" x14ac:dyDescent="0.25">
      <c r="T22" s="208"/>
      <c r="U22" s="227"/>
      <c r="V22" s="176"/>
    </row>
    <row r="23" spans="1:36" ht="15.75" thickBot="1" x14ac:dyDescent="0.25"/>
    <row r="24" spans="1:36" x14ac:dyDescent="0.2">
      <c r="T24" s="694" t="s">
        <v>64</v>
      </c>
      <c r="U24" s="695"/>
      <c r="V24" s="695"/>
      <c r="W24" s="462">
        <f>+COUNT(D34:F42)</f>
        <v>0</v>
      </c>
    </row>
    <row r="25" spans="1:36" x14ac:dyDescent="0.2">
      <c r="T25" s="696" t="s">
        <v>63</v>
      </c>
      <c r="U25" s="697"/>
      <c r="V25" s="697"/>
      <c r="W25" s="463">
        <v>3</v>
      </c>
    </row>
    <row r="26" spans="1:36" ht="15.75" thickBot="1" x14ac:dyDescent="0.25">
      <c r="T26" s="698" t="s">
        <v>62</v>
      </c>
      <c r="U26" s="699"/>
      <c r="V26" s="699"/>
      <c r="W26" s="464">
        <f>+COUNT(D34:D42)</f>
        <v>0</v>
      </c>
    </row>
    <row r="31" spans="1:36" ht="15.75" thickBot="1" x14ac:dyDescent="0.25"/>
    <row r="32" spans="1:36" s="205" customFormat="1" ht="35.1" customHeight="1" thickBot="1" x14ac:dyDescent="0.4">
      <c r="A32" s="151"/>
      <c r="B32" s="151"/>
      <c r="C32" s="151"/>
      <c r="D32" s="315" t="str">
        <f>T17</f>
        <v>M1</v>
      </c>
      <c r="E32" s="316" t="str">
        <f>T18</f>
        <v>M2</v>
      </c>
      <c r="F32" s="317" t="str">
        <f>T19</f>
        <v>M3</v>
      </c>
      <c r="G32" s="155"/>
      <c r="H32" s="155"/>
      <c r="I32" s="155"/>
      <c r="J32" s="151"/>
      <c r="K32" s="530" t="s">
        <v>11</v>
      </c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31"/>
      <c r="Z32" s="531"/>
      <c r="AA32" s="151"/>
      <c r="AB32" s="151"/>
      <c r="AC32" s="151"/>
      <c r="AD32" s="151"/>
      <c r="AE32" s="151"/>
      <c r="AF32" s="700" t="s">
        <v>77</v>
      </c>
      <c r="AG32" s="701"/>
      <c r="AH32" s="701"/>
      <c r="AI32" s="701"/>
      <c r="AJ32" s="702"/>
    </row>
    <row r="33" spans="4:36" ht="47.25" customHeight="1" thickBot="1" x14ac:dyDescent="0.25">
      <c r="D33" s="349">
        <f>U17</f>
        <v>0</v>
      </c>
      <c r="E33" s="350">
        <f>U18</f>
        <v>0</v>
      </c>
      <c r="F33" s="351">
        <f>U19</f>
        <v>0</v>
      </c>
      <c r="G33" s="155"/>
      <c r="H33" s="155"/>
      <c r="I33" s="155"/>
      <c r="K33" s="274" t="s">
        <v>8</v>
      </c>
      <c r="L33" s="275" t="s">
        <v>9</v>
      </c>
      <c r="M33" s="276" t="s">
        <v>10</v>
      </c>
      <c r="N33" s="155"/>
      <c r="O33" s="155"/>
      <c r="P33" s="155"/>
      <c r="R33" s="274" t="s">
        <v>8</v>
      </c>
      <c r="S33" s="275" t="s">
        <v>9</v>
      </c>
      <c r="T33" s="276" t="s">
        <v>10</v>
      </c>
      <c r="U33" s="159"/>
      <c r="V33" s="155"/>
      <c r="W33" s="318" t="s">
        <v>158</v>
      </c>
      <c r="X33" s="646" t="s">
        <v>163</v>
      </c>
      <c r="Y33" s="647"/>
      <c r="Z33" s="353" t="s">
        <v>164</v>
      </c>
      <c r="AF33" s="321" t="s">
        <v>158</v>
      </c>
      <c r="AG33" s="703" t="s">
        <v>159</v>
      </c>
      <c r="AH33" s="704"/>
      <c r="AI33" s="322" t="s">
        <v>75</v>
      </c>
      <c r="AJ33" s="322" t="s">
        <v>76</v>
      </c>
    </row>
    <row r="34" spans="4:36" ht="15" customHeight="1" x14ac:dyDescent="0.2">
      <c r="D34" s="314"/>
      <c r="E34" s="319"/>
      <c r="F34" s="320"/>
      <c r="G34" s="157"/>
      <c r="H34" s="157"/>
      <c r="I34" s="186"/>
      <c r="J34" s="158"/>
      <c r="K34" s="283" t="e">
        <f t="shared" ref="K34:K42" si="0">+D34-$D$50</f>
        <v>#DIV/0!</v>
      </c>
      <c r="L34" s="284" t="e">
        <f t="shared" ref="L34:L42" si="1">+E34-$E$50</f>
        <v>#DIV/0!</v>
      </c>
      <c r="M34" s="285" t="e">
        <f t="shared" ref="M34:M42" si="2">+F34-$F$50</f>
        <v>#DIV/0!</v>
      </c>
      <c r="N34" s="159"/>
      <c r="O34" s="159"/>
      <c r="P34" s="186"/>
      <c r="R34" s="295" t="e">
        <f t="shared" ref="R34:T38" si="3">+K34^2</f>
        <v>#DIV/0!</v>
      </c>
      <c r="S34" s="296" t="e">
        <f t="shared" si="3"/>
        <v>#DIV/0!</v>
      </c>
      <c r="T34" s="297" t="e">
        <f t="shared" si="3"/>
        <v>#DIV/0!</v>
      </c>
      <c r="U34" s="159"/>
      <c r="V34" s="186"/>
      <c r="W34" s="323">
        <v>1</v>
      </c>
      <c r="X34" s="705" t="e">
        <f t="shared" ref="X34:X42" si="4">K34</f>
        <v>#DIV/0!</v>
      </c>
      <c r="Y34" s="706"/>
      <c r="Z34" s="465">
        <v>-1.8908047235163394</v>
      </c>
      <c r="AF34" s="450">
        <v>1</v>
      </c>
      <c r="AG34" s="451">
        <f>Z34</f>
        <v>-1.8908047235163394</v>
      </c>
      <c r="AH34" s="452" t="e">
        <f t="shared" ref="AH34:AH42" si="5">+(AF34-0.5)/$W$24</f>
        <v>#DIV/0!</v>
      </c>
      <c r="AI34" s="452" t="e">
        <f>_xlfn.NORM.S.INV(AH34)</f>
        <v>#DIV/0!</v>
      </c>
      <c r="AJ34" s="453" t="e">
        <f t="shared" ref="AJ34:AJ42" si="6">+AI34*$D$150</f>
        <v>#DIV/0!</v>
      </c>
    </row>
    <row r="35" spans="4:36" x14ac:dyDescent="0.2">
      <c r="D35" s="277"/>
      <c r="E35" s="278"/>
      <c r="F35" s="279"/>
      <c r="G35" s="157"/>
      <c r="H35" s="157"/>
      <c r="I35" s="186"/>
      <c r="J35" s="158"/>
      <c r="K35" s="286" t="e">
        <f t="shared" si="0"/>
        <v>#DIV/0!</v>
      </c>
      <c r="L35" s="287" t="e">
        <f t="shared" si="1"/>
        <v>#DIV/0!</v>
      </c>
      <c r="M35" s="288" t="e">
        <f t="shared" si="2"/>
        <v>#DIV/0!</v>
      </c>
      <c r="N35" s="159"/>
      <c r="O35" s="159"/>
      <c r="P35" s="186"/>
      <c r="R35" s="298" t="e">
        <f t="shared" si="3"/>
        <v>#DIV/0!</v>
      </c>
      <c r="S35" s="299" t="e">
        <f t="shared" si="3"/>
        <v>#DIV/0!</v>
      </c>
      <c r="T35" s="300" t="e">
        <f t="shared" si="3"/>
        <v>#DIV/0!</v>
      </c>
      <c r="U35" s="159"/>
      <c r="V35" s="186"/>
      <c r="W35" s="324">
        <v>2</v>
      </c>
      <c r="X35" s="536" t="e">
        <f t="shared" si="4"/>
        <v>#DIV/0!</v>
      </c>
      <c r="Y35" s="537"/>
      <c r="Z35" s="466">
        <v>-0.87223334744339809</v>
      </c>
      <c r="AF35" s="454">
        <v>2</v>
      </c>
      <c r="AG35" s="455">
        <f t="shared" ref="AG35:AG60" si="7">Z35</f>
        <v>-0.87223334744339809</v>
      </c>
      <c r="AH35" s="456" t="e">
        <f t="shared" si="5"/>
        <v>#DIV/0!</v>
      </c>
      <c r="AI35" s="456" t="e">
        <f t="shared" ref="AI35:AI38" si="8">_xlfn.NORM.S.INV(AH35)</f>
        <v>#DIV/0!</v>
      </c>
      <c r="AJ35" s="457" t="e">
        <f t="shared" si="6"/>
        <v>#DIV/0!</v>
      </c>
    </row>
    <row r="36" spans="4:36" x14ac:dyDescent="0.2">
      <c r="D36" s="277"/>
      <c r="E36" s="278"/>
      <c r="F36" s="279"/>
      <c r="G36" s="157"/>
      <c r="H36" s="157"/>
      <c r="I36" s="186"/>
      <c r="J36" s="158"/>
      <c r="K36" s="286" t="e">
        <f t="shared" si="0"/>
        <v>#DIV/0!</v>
      </c>
      <c r="L36" s="287" t="e">
        <f t="shared" si="1"/>
        <v>#DIV/0!</v>
      </c>
      <c r="M36" s="288" t="e">
        <f t="shared" si="2"/>
        <v>#DIV/0!</v>
      </c>
      <c r="N36" s="159"/>
      <c r="O36" s="159"/>
      <c r="P36" s="186"/>
      <c r="R36" s="298" t="e">
        <f t="shared" si="3"/>
        <v>#DIV/0!</v>
      </c>
      <c r="S36" s="299" t="e">
        <f t="shared" si="3"/>
        <v>#DIV/0!</v>
      </c>
      <c r="T36" s="300" t="e">
        <f t="shared" si="3"/>
        <v>#DIV/0!</v>
      </c>
      <c r="U36" s="159"/>
      <c r="V36" s="186"/>
      <c r="W36" s="324">
        <v>3</v>
      </c>
      <c r="X36" s="536" t="e">
        <f t="shared" si="4"/>
        <v>#DIV/0!</v>
      </c>
      <c r="Y36" s="537"/>
      <c r="Z36" s="466">
        <v>-0.77640882973355474</v>
      </c>
      <c r="AF36" s="454">
        <v>3</v>
      </c>
      <c r="AG36" s="455">
        <f t="shared" si="7"/>
        <v>-0.77640882973355474</v>
      </c>
      <c r="AH36" s="456" t="e">
        <f t="shared" si="5"/>
        <v>#DIV/0!</v>
      </c>
      <c r="AI36" s="456" t="e">
        <f t="shared" si="8"/>
        <v>#DIV/0!</v>
      </c>
      <c r="AJ36" s="457" t="e">
        <f t="shared" si="6"/>
        <v>#DIV/0!</v>
      </c>
    </row>
    <row r="37" spans="4:36" x14ac:dyDescent="0.2">
      <c r="D37" s="277"/>
      <c r="E37" s="278"/>
      <c r="F37" s="279"/>
      <c r="G37" s="157"/>
      <c r="H37" s="157"/>
      <c r="I37" s="186"/>
      <c r="J37" s="158"/>
      <c r="K37" s="286" t="e">
        <f t="shared" si="0"/>
        <v>#DIV/0!</v>
      </c>
      <c r="L37" s="287" t="e">
        <f t="shared" si="1"/>
        <v>#DIV/0!</v>
      </c>
      <c r="M37" s="288" t="e">
        <f t="shared" si="2"/>
        <v>#DIV/0!</v>
      </c>
      <c r="N37" s="159"/>
      <c r="O37" s="159"/>
      <c r="P37" s="186"/>
      <c r="R37" s="298" t="e">
        <f t="shared" si="3"/>
        <v>#DIV/0!</v>
      </c>
      <c r="S37" s="299" t="e">
        <f t="shared" si="3"/>
        <v>#DIV/0!</v>
      </c>
      <c r="T37" s="300" t="e">
        <f t="shared" si="3"/>
        <v>#DIV/0!</v>
      </c>
      <c r="U37" s="159"/>
      <c r="V37" s="186"/>
      <c r="W37" s="324">
        <v>4</v>
      </c>
      <c r="X37" s="536" t="e">
        <f t="shared" si="4"/>
        <v>#DIV/0!</v>
      </c>
      <c r="Y37" s="537"/>
      <c r="Z37" s="466">
        <v>-0.76169437976568588</v>
      </c>
      <c r="AF37" s="454">
        <v>4</v>
      </c>
      <c r="AG37" s="455">
        <f t="shared" si="7"/>
        <v>-0.76169437976568588</v>
      </c>
      <c r="AH37" s="456" t="e">
        <f t="shared" si="5"/>
        <v>#DIV/0!</v>
      </c>
      <c r="AI37" s="456" t="e">
        <f t="shared" si="8"/>
        <v>#DIV/0!</v>
      </c>
      <c r="AJ37" s="457" t="e">
        <f t="shared" si="6"/>
        <v>#DIV/0!</v>
      </c>
    </row>
    <row r="38" spans="4:36" x14ac:dyDescent="0.2">
      <c r="D38" s="277"/>
      <c r="E38" s="278"/>
      <c r="F38" s="279"/>
      <c r="G38" s="157"/>
      <c r="H38" s="157"/>
      <c r="I38" s="186"/>
      <c r="J38" s="158"/>
      <c r="K38" s="286" t="e">
        <f t="shared" si="0"/>
        <v>#DIV/0!</v>
      </c>
      <c r="L38" s="287" t="e">
        <f t="shared" si="1"/>
        <v>#DIV/0!</v>
      </c>
      <c r="M38" s="288" t="e">
        <f t="shared" si="2"/>
        <v>#DIV/0!</v>
      </c>
      <c r="N38" s="159"/>
      <c r="O38" s="159"/>
      <c r="P38" s="186"/>
      <c r="R38" s="298" t="e">
        <f t="shared" si="3"/>
        <v>#DIV/0!</v>
      </c>
      <c r="S38" s="299" t="e">
        <f t="shared" si="3"/>
        <v>#DIV/0!</v>
      </c>
      <c r="T38" s="300" t="e">
        <f t="shared" si="3"/>
        <v>#DIV/0!</v>
      </c>
      <c r="U38" s="159"/>
      <c r="V38" s="186"/>
      <c r="W38" s="324">
        <v>5</v>
      </c>
      <c r="X38" s="536" t="e">
        <f t="shared" si="4"/>
        <v>#DIV/0!</v>
      </c>
      <c r="Y38" s="537"/>
      <c r="Z38" s="466">
        <v>-0.68246329570320086</v>
      </c>
      <c r="AF38" s="454">
        <v>5</v>
      </c>
      <c r="AG38" s="455">
        <f t="shared" si="7"/>
        <v>-0.68246329570320086</v>
      </c>
      <c r="AH38" s="456" t="e">
        <f t="shared" si="5"/>
        <v>#DIV/0!</v>
      </c>
      <c r="AI38" s="456" t="e">
        <f t="shared" si="8"/>
        <v>#DIV/0!</v>
      </c>
      <c r="AJ38" s="457" t="e">
        <f t="shared" si="6"/>
        <v>#DIV/0!</v>
      </c>
    </row>
    <row r="39" spans="4:36" x14ac:dyDescent="0.2">
      <c r="D39" s="277"/>
      <c r="E39" s="278"/>
      <c r="F39" s="279"/>
      <c r="G39" s="157"/>
      <c r="H39" s="157"/>
      <c r="I39" s="186"/>
      <c r="J39" s="158"/>
      <c r="K39" s="286" t="e">
        <f t="shared" si="0"/>
        <v>#DIV/0!</v>
      </c>
      <c r="L39" s="287" t="e">
        <f t="shared" si="1"/>
        <v>#DIV/0!</v>
      </c>
      <c r="M39" s="288" t="e">
        <f t="shared" si="2"/>
        <v>#DIV/0!</v>
      </c>
      <c r="N39" s="159"/>
      <c r="O39" s="159"/>
      <c r="P39" s="186"/>
      <c r="R39" s="298" t="e">
        <f t="shared" ref="R39:R41" si="9">+K39^2</f>
        <v>#DIV/0!</v>
      </c>
      <c r="S39" s="299" t="e">
        <f t="shared" ref="S39:S41" si="10">+L39^2</f>
        <v>#DIV/0!</v>
      </c>
      <c r="T39" s="300" t="e">
        <f t="shared" ref="T39:T41" si="11">+M39^2</f>
        <v>#DIV/0!</v>
      </c>
      <c r="U39" s="159"/>
      <c r="V39" s="186"/>
      <c r="W39" s="324">
        <v>6</v>
      </c>
      <c r="X39" s="536" t="e">
        <f t="shared" si="4"/>
        <v>#DIV/0!</v>
      </c>
      <c r="Y39" s="537"/>
      <c r="Z39" s="466">
        <v>-0.66761437642708188</v>
      </c>
      <c r="AC39" s="231"/>
      <c r="AF39" s="454">
        <v>6</v>
      </c>
      <c r="AG39" s="455">
        <f t="shared" si="7"/>
        <v>-0.66761437642708188</v>
      </c>
      <c r="AH39" s="456" t="e">
        <f t="shared" si="5"/>
        <v>#DIV/0!</v>
      </c>
      <c r="AI39" s="456" t="e">
        <f>_xlfn.NORM.S.INV(AH39)</f>
        <v>#DIV/0!</v>
      </c>
      <c r="AJ39" s="457" t="e">
        <f t="shared" si="6"/>
        <v>#DIV/0!</v>
      </c>
    </row>
    <row r="40" spans="4:36" x14ac:dyDescent="0.2">
      <c r="D40" s="277"/>
      <c r="E40" s="278"/>
      <c r="F40" s="279"/>
      <c r="G40" s="157"/>
      <c r="H40" s="157"/>
      <c r="I40" s="186"/>
      <c r="J40" s="158"/>
      <c r="K40" s="286" t="e">
        <f t="shared" si="0"/>
        <v>#DIV/0!</v>
      </c>
      <c r="L40" s="287" t="e">
        <f t="shared" si="1"/>
        <v>#DIV/0!</v>
      </c>
      <c r="M40" s="288" t="e">
        <f t="shared" si="2"/>
        <v>#DIV/0!</v>
      </c>
      <c r="N40" s="159"/>
      <c r="O40" s="159"/>
      <c r="P40" s="186"/>
      <c r="R40" s="298" t="e">
        <f t="shared" si="9"/>
        <v>#DIV/0!</v>
      </c>
      <c r="S40" s="299" t="e">
        <f t="shared" si="10"/>
        <v>#DIV/0!</v>
      </c>
      <c r="T40" s="300" t="e">
        <f t="shared" si="11"/>
        <v>#DIV/0!</v>
      </c>
      <c r="U40" s="159"/>
      <c r="V40" s="186"/>
      <c r="W40" s="324">
        <v>7</v>
      </c>
      <c r="X40" s="536" t="e">
        <f t="shared" si="4"/>
        <v>#DIV/0!</v>
      </c>
      <c r="Y40" s="537"/>
      <c r="Z40" s="466">
        <v>-0.65412529800960328</v>
      </c>
      <c r="AC40" s="231"/>
      <c r="AF40" s="454">
        <v>7</v>
      </c>
      <c r="AG40" s="455">
        <f t="shared" si="7"/>
        <v>-0.65412529800960328</v>
      </c>
      <c r="AH40" s="456" t="e">
        <f t="shared" si="5"/>
        <v>#DIV/0!</v>
      </c>
      <c r="AI40" s="456" t="e">
        <f>_xlfn.NORM.S.INV(AH40)</f>
        <v>#DIV/0!</v>
      </c>
      <c r="AJ40" s="457" t="e">
        <f t="shared" si="6"/>
        <v>#DIV/0!</v>
      </c>
    </row>
    <row r="41" spans="4:36" x14ac:dyDescent="0.2">
      <c r="D41" s="277"/>
      <c r="E41" s="278"/>
      <c r="F41" s="279"/>
      <c r="G41" s="157"/>
      <c r="H41" s="157"/>
      <c r="I41" s="186"/>
      <c r="J41" s="158"/>
      <c r="K41" s="286" t="e">
        <f t="shared" si="0"/>
        <v>#DIV/0!</v>
      </c>
      <c r="L41" s="287" t="e">
        <f t="shared" si="1"/>
        <v>#DIV/0!</v>
      </c>
      <c r="M41" s="288" t="e">
        <f t="shared" si="2"/>
        <v>#DIV/0!</v>
      </c>
      <c r="N41" s="159"/>
      <c r="O41" s="159"/>
      <c r="P41" s="186"/>
      <c r="R41" s="298" t="e">
        <f t="shared" si="9"/>
        <v>#DIV/0!</v>
      </c>
      <c r="S41" s="299" t="e">
        <f t="shared" si="10"/>
        <v>#DIV/0!</v>
      </c>
      <c r="T41" s="300" t="e">
        <f t="shared" si="11"/>
        <v>#DIV/0!</v>
      </c>
      <c r="U41" s="159"/>
      <c r="V41" s="186"/>
      <c r="W41" s="324">
        <v>8</v>
      </c>
      <c r="X41" s="536" t="e">
        <f t="shared" si="4"/>
        <v>#DIV/0!</v>
      </c>
      <c r="Y41" s="537"/>
      <c r="Z41" s="466">
        <v>-0.60093246343603823</v>
      </c>
      <c r="AC41" s="231"/>
      <c r="AF41" s="454">
        <v>8</v>
      </c>
      <c r="AG41" s="455">
        <f t="shared" si="7"/>
        <v>-0.60093246343603823</v>
      </c>
      <c r="AH41" s="456" t="e">
        <f t="shared" si="5"/>
        <v>#DIV/0!</v>
      </c>
      <c r="AI41" s="456" t="e">
        <f>_xlfn.NORM.S.INV(AH41)</f>
        <v>#DIV/0!</v>
      </c>
      <c r="AJ41" s="457" t="e">
        <f t="shared" si="6"/>
        <v>#DIV/0!</v>
      </c>
    </row>
    <row r="42" spans="4:36" x14ac:dyDescent="0.2">
      <c r="D42" s="277"/>
      <c r="E42" s="278"/>
      <c r="F42" s="279"/>
      <c r="G42" s="157"/>
      <c r="H42" s="157"/>
      <c r="I42" s="186"/>
      <c r="J42" s="158"/>
      <c r="K42" s="286" t="e">
        <f t="shared" si="0"/>
        <v>#DIV/0!</v>
      </c>
      <c r="L42" s="287" t="e">
        <f t="shared" si="1"/>
        <v>#DIV/0!</v>
      </c>
      <c r="M42" s="288" t="e">
        <f t="shared" si="2"/>
        <v>#DIV/0!</v>
      </c>
      <c r="N42" s="159"/>
      <c r="O42" s="159"/>
      <c r="P42" s="186"/>
      <c r="R42" s="298" t="e">
        <f t="shared" ref="R42" si="12">+K42^2</f>
        <v>#DIV/0!</v>
      </c>
      <c r="S42" s="299" t="e">
        <f t="shared" ref="S42" si="13">+L42^2</f>
        <v>#DIV/0!</v>
      </c>
      <c r="T42" s="300" t="e">
        <f t="shared" ref="T42" si="14">+M42^2</f>
        <v>#DIV/0!</v>
      </c>
      <c r="U42" s="159"/>
      <c r="V42" s="186"/>
      <c r="W42" s="324">
        <v>9</v>
      </c>
      <c r="X42" s="536" t="e">
        <f t="shared" si="4"/>
        <v>#DIV/0!</v>
      </c>
      <c r="Y42" s="537"/>
      <c r="Z42" s="466">
        <v>-0.398674624015257</v>
      </c>
      <c r="AC42" s="231"/>
      <c r="AF42" s="454">
        <v>9</v>
      </c>
      <c r="AG42" s="455">
        <f t="shared" si="7"/>
        <v>-0.398674624015257</v>
      </c>
      <c r="AH42" s="456" t="e">
        <f t="shared" si="5"/>
        <v>#DIV/0!</v>
      </c>
      <c r="AI42" s="456" t="e">
        <f>_xlfn.NORM.S.INV(AH42)</f>
        <v>#DIV/0!</v>
      </c>
      <c r="AJ42" s="457" t="e">
        <f t="shared" si="6"/>
        <v>#DIV/0!</v>
      </c>
    </row>
    <row r="43" spans="4:36" x14ac:dyDescent="0.2">
      <c r="D43" s="277"/>
      <c r="E43" s="278"/>
      <c r="F43" s="279"/>
      <c r="G43" s="157"/>
      <c r="H43" s="157"/>
      <c r="I43" s="186"/>
      <c r="J43" s="158"/>
      <c r="K43" s="289"/>
      <c r="L43" s="290"/>
      <c r="M43" s="291"/>
      <c r="N43" s="159"/>
      <c r="O43" s="159"/>
      <c r="P43" s="186"/>
      <c r="R43" s="298"/>
      <c r="S43" s="299"/>
      <c r="T43" s="300"/>
      <c r="U43" s="159"/>
      <c r="V43" s="186"/>
      <c r="W43" s="324">
        <v>10</v>
      </c>
      <c r="X43" s="536" t="e">
        <f t="shared" ref="X43:X51" si="15">L34</f>
        <v>#DIV/0!</v>
      </c>
      <c r="Y43" s="537"/>
      <c r="Z43" s="466">
        <v>1.4588129419280449E-2</v>
      </c>
      <c r="AC43" s="231"/>
      <c r="AF43" s="454">
        <v>10</v>
      </c>
      <c r="AG43" s="455">
        <f t="shared" si="7"/>
        <v>1.4588129419280449E-2</v>
      </c>
      <c r="AH43" s="456" t="e">
        <f t="shared" ref="AH43:AH60" si="16">+(AF43-0.5)/$W$24</f>
        <v>#DIV/0!</v>
      </c>
      <c r="AI43" s="456" t="e">
        <f t="shared" ref="AI43:AI60" si="17">_xlfn.NORM.S.INV(AH43)</f>
        <v>#DIV/0!</v>
      </c>
      <c r="AJ43" s="457" t="e">
        <f t="shared" ref="AJ43:AJ60" si="18">+AI43*$D$150</f>
        <v>#DIV/0!</v>
      </c>
    </row>
    <row r="44" spans="4:36" x14ac:dyDescent="0.2">
      <c r="D44" s="277"/>
      <c r="E44" s="278"/>
      <c r="F44" s="279"/>
      <c r="G44" s="157"/>
      <c r="H44" s="157"/>
      <c r="I44" s="186"/>
      <c r="J44" s="158"/>
      <c r="K44" s="289"/>
      <c r="L44" s="290"/>
      <c r="M44" s="291"/>
      <c r="N44" s="159"/>
      <c r="O44" s="159"/>
      <c r="P44" s="186"/>
      <c r="R44" s="298"/>
      <c r="S44" s="299"/>
      <c r="T44" s="300"/>
      <c r="U44" s="159"/>
      <c r="V44" s="186"/>
      <c r="W44" s="324">
        <v>11</v>
      </c>
      <c r="X44" s="536" t="e">
        <f t="shared" si="15"/>
        <v>#DIV/0!</v>
      </c>
      <c r="Y44" s="537"/>
      <c r="Z44" s="466">
        <v>7.369134731561644E-2</v>
      </c>
      <c r="AC44" s="231"/>
      <c r="AF44" s="454">
        <v>11</v>
      </c>
      <c r="AG44" s="455">
        <f t="shared" si="7"/>
        <v>7.369134731561644E-2</v>
      </c>
      <c r="AH44" s="456" t="e">
        <f t="shared" si="16"/>
        <v>#DIV/0!</v>
      </c>
      <c r="AI44" s="456" t="e">
        <f t="shared" si="17"/>
        <v>#DIV/0!</v>
      </c>
      <c r="AJ44" s="457" t="e">
        <f t="shared" si="18"/>
        <v>#DIV/0!</v>
      </c>
    </row>
    <row r="45" spans="4:36" x14ac:dyDescent="0.2">
      <c r="D45" s="277"/>
      <c r="E45" s="278"/>
      <c r="F45" s="279"/>
      <c r="G45" s="157"/>
      <c r="H45" s="157"/>
      <c r="I45" s="186"/>
      <c r="J45" s="158"/>
      <c r="K45" s="289"/>
      <c r="L45" s="290"/>
      <c r="M45" s="291"/>
      <c r="N45" s="159"/>
      <c r="O45" s="159"/>
      <c r="P45" s="186"/>
      <c r="R45" s="298"/>
      <c r="S45" s="299"/>
      <c r="T45" s="300"/>
      <c r="U45" s="159"/>
      <c r="V45" s="186"/>
      <c r="W45" s="324">
        <v>12</v>
      </c>
      <c r="X45" s="536" t="e">
        <f t="shared" si="15"/>
        <v>#DIV/0!</v>
      </c>
      <c r="Y45" s="537"/>
      <c r="Z45" s="466">
        <v>9.0893605160090374E-2</v>
      </c>
      <c r="AC45" s="231"/>
      <c r="AF45" s="454">
        <v>12</v>
      </c>
      <c r="AG45" s="455">
        <f t="shared" si="7"/>
        <v>9.0893605160090374E-2</v>
      </c>
      <c r="AH45" s="456" t="e">
        <f t="shared" si="16"/>
        <v>#DIV/0!</v>
      </c>
      <c r="AI45" s="456" t="e">
        <f t="shared" si="17"/>
        <v>#DIV/0!</v>
      </c>
      <c r="AJ45" s="457" t="e">
        <f t="shared" si="18"/>
        <v>#DIV/0!</v>
      </c>
    </row>
    <row r="46" spans="4:36" x14ac:dyDescent="0.2">
      <c r="D46" s="277"/>
      <c r="E46" s="278"/>
      <c r="F46" s="279"/>
      <c r="G46" s="157"/>
      <c r="H46" s="157"/>
      <c r="I46" s="186"/>
      <c r="J46" s="158"/>
      <c r="K46" s="289"/>
      <c r="L46" s="290"/>
      <c r="M46" s="291"/>
      <c r="N46" s="159"/>
      <c r="O46" s="159"/>
      <c r="P46" s="186"/>
      <c r="R46" s="298"/>
      <c r="S46" s="299"/>
      <c r="T46" s="300"/>
      <c r="U46" s="159"/>
      <c r="V46" s="186"/>
      <c r="W46" s="324">
        <v>13</v>
      </c>
      <c r="X46" s="536" t="e">
        <f t="shared" si="15"/>
        <v>#DIV/0!</v>
      </c>
      <c r="Y46" s="537"/>
      <c r="Z46" s="466">
        <v>0.10292825486612855</v>
      </c>
      <c r="AC46" s="231"/>
      <c r="AF46" s="454">
        <v>13</v>
      </c>
      <c r="AG46" s="455">
        <f t="shared" si="7"/>
        <v>0.10292825486612855</v>
      </c>
      <c r="AH46" s="456" t="e">
        <f t="shared" si="16"/>
        <v>#DIV/0!</v>
      </c>
      <c r="AI46" s="456" t="e">
        <f t="shared" si="17"/>
        <v>#DIV/0!</v>
      </c>
      <c r="AJ46" s="457" t="e">
        <f t="shared" si="18"/>
        <v>#DIV/0!</v>
      </c>
    </row>
    <row r="47" spans="4:36" x14ac:dyDescent="0.2">
      <c r="D47" s="277"/>
      <c r="E47" s="278"/>
      <c r="F47" s="279"/>
      <c r="G47" s="157"/>
      <c r="H47" s="157"/>
      <c r="I47" s="186"/>
      <c r="J47" s="158"/>
      <c r="K47" s="289"/>
      <c r="L47" s="290"/>
      <c r="M47" s="291"/>
      <c r="N47" s="159"/>
      <c r="O47" s="159"/>
      <c r="P47" s="186"/>
      <c r="R47" s="298"/>
      <c r="S47" s="299"/>
      <c r="T47" s="300"/>
      <c r="U47" s="159"/>
      <c r="V47" s="186"/>
      <c r="W47" s="324">
        <v>14</v>
      </c>
      <c r="X47" s="536" t="e">
        <f t="shared" si="15"/>
        <v>#DIV/0!</v>
      </c>
      <c r="Y47" s="537"/>
      <c r="Z47" s="466">
        <v>0.11344859020027798</v>
      </c>
      <c r="AC47" s="231"/>
      <c r="AF47" s="454">
        <v>14</v>
      </c>
      <c r="AG47" s="455">
        <f t="shared" si="7"/>
        <v>0.11344859020027798</v>
      </c>
      <c r="AH47" s="456" t="e">
        <f t="shared" si="16"/>
        <v>#DIV/0!</v>
      </c>
      <c r="AI47" s="456" t="e">
        <f t="shared" si="17"/>
        <v>#DIV/0!</v>
      </c>
      <c r="AJ47" s="457" t="e">
        <f t="shared" si="18"/>
        <v>#DIV/0!</v>
      </c>
    </row>
    <row r="48" spans="4:36" ht="15.75" thickBot="1" x14ac:dyDescent="0.25">
      <c r="D48" s="280"/>
      <c r="E48" s="281"/>
      <c r="F48" s="282"/>
      <c r="G48" s="157"/>
      <c r="H48" s="157"/>
      <c r="I48" s="186"/>
      <c r="J48" s="158"/>
      <c r="K48" s="292"/>
      <c r="L48" s="293"/>
      <c r="M48" s="294"/>
      <c r="N48" s="159"/>
      <c r="O48" s="159"/>
      <c r="P48" s="186"/>
      <c r="R48" s="301"/>
      <c r="S48" s="302"/>
      <c r="T48" s="303"/>
      <c r="U48" s="159"/>
      <c r="V48" s="186"/>
      <c r="W48" s="324">
        <v>15</v>
      </c>
      <c r="X48" s="536" t="e">
        <f t="shared" si="15"/>
        <v>#DIV/0!</v>
      </c>
      <c r="Y48" s="537"/>
      <c r="Z48" s="466">
        <v>0.12086927267591818</v>
      </c>
      <c r="AC48" s="231"/>
      <c r="AF48" s="454">
        <v>15</v>
      </c>
      <c r="AG48" s="455">
        <f t="shared" si="7"/>
        <v>0.12086927267591818</v>
      </c>
      <c r="AH48" s="456" t="e">
        <f t="shared" si="16"/>
        <v>#DIV/0!</v>
      </c>
      <c r="AI48" s="456" t="e">
        <f t="shared" si="17"/>
        <v>#DIV/0!</v>
      </c>
      <c r="AJ48" s="457" t="e">
        <f t="shared" si="18"/>
        <v>#DIV/0!</v>
      </c>
    </row>
    <row r="49" spans="3:36" ht="15.75" thickBot="1" x14ac:dyDescent="0.25">
      <c r="C49" s="159"/>
      <c r="D49" s="159"/>
      <c r="E49" s="159"/>
      <c r="F49" s="159"/>
      <c r="G49" s="157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86"/>
      <c r="W49" s="324">
        <v>16</v>
      </c>
      <c r="X49" s="536" t="e">
        <f t="shared" si="15"/>
        <v>#DIV/0!</v>
      </c>
      <c r="Y49" s="537"/>
      <c r="Z49" s="466">
        <v>0.13399920156734879</v>
      </c>
      <c r="AC49" s="231"/>
      <c r="AF49" s="454">
        <v>16</v>
      </c>
      <c r="AG49" s="455">
        <f t="shared" si="7"/>
        <v>0.13399920156734879</v>
      </c>
      <c r="AH49" s="456" t="e">
        <f t="shared" si="16"/>
        <v>#DIV/0!</v>
      </c>
      <c r="AI49" s="456" t="e">
        <f t="shared" si="17"/>
        <v>#DIV/0!</v>
      </c>
      <c r="AJ49" s="457" t="e">
        <f t="shared" si="18"/>
        <v>#DIV/0!</v>
      </c>
    </row>
    <row r="50" spans="3:36" ht="20.100000000000001" customHeight="1" thickBot="1" x14ac:dyDescent="0.25">
      <c r="C50" s="195" t="s">
        <v>12</v>
      </c>
      <c r="D50" s="337" t="e">
        <f>AVERAGE(D34:D42)</f>
        <v>#DIV/0!</v>
      </c>
      <c r="E50" s="248" t="e">
        <f>AVERAGE(E34:E43)</f>
        <v>#DIV/0!</v>
      </c>
      <c r="F50" s="248" t="e">
        <f>AVERAGE(F34:F43)</f>
        <v>#DIV/0!</v>
      </c>
      <c r="G50" s="157"/>
      <c r="H50" s="533" t="s">
        <v>13</v>
      </c>
      <c r="I50" s="534"/>
      <c r="J50" s="535"/>
      <c r="K50" s="222" t="e">
        <f>SUM(K34:K42)</f>
        <v>#DIV/0!</v>
      </c>
      <c r="L50" s="223" t="e">
        <f>SUM(L34:L42)</f>
        <v>#DIV/0!</v>
      </c>
      <c r="M50" s="223" t="e">
        <f>SUM(M34:M42)</f>
        <v>#DIV/0!</v>
      </c>
      <c r="N50" s="159"/>
      <c r="O50" s="160"/>
      <c r="P50" s="160"/>
      <c r="R50" s="224"/>
      <c r="S50" s="225"/>
      <c r="T50" s="434"/>
      <c r="U50" s="159"/>
      <c r="V50" s="162"/>
      <c r="W50" s="324">
        <v>17</v>
      </c>
      <c r="X50" s="536" t="e">
        <f t="shared" si="15"/>
        <v>#DIV/0!</v>
      </c>
      <c r="Y50" s="537"/>
      <c r="Z50" s="466">
        <v>0.14174317973811412</v>
      </c>
      <c r="AF50" s="454">
        <v>17</v>
      </c>
      <c r="AG50" s="455">
        <f t="shared" si="7"/>
        <v>0.14174317973811412</v>
      </c>
      <c r="AH50" s="456" t="e">
        <f t="shared" si="16"/>
        <v>#DIV/0!</v>
      </c>
      <c r="AI50" s="456" t="e">
        <f t="shared" si="17"/>
        <v>#DIV/0!</v>
      </c>
      <c r="AJ50" s="457" t="e">
        <f t="shared" si="18"/>
        <v>#DIV/0!</v>
      </c>
    </row>
    <row r="51" spans="3:36" ht="20.100000000000001" customHeight="1" x14ac:dyDescent="0.2">
      <c r="C51" s="196" t="s">
        <v>14</v>
      </c>
      <c r="D51" s="203" t="e">
        <f>_xlfn.STDEV.S(D34:D43)</f>
        <v>#DIV/0!</v>
      </c>
      <c r="E51" s="178" t="e">
        <f>_xlfn.STDEV.S(E34:E43)</f>
        <v>#DIV/0!</v>
      </c>
      <c r="F51" s="178" t="e">
        <f>_xlfn.STDEV.S(F34:F43)</f>
        <v>#DIV/0!</v>
      </c>
      <c r="G51" s="157"/>
      <c r="H51" s="160"/>
      <c r="I51" s="160"/>
      <c r="J51" s="158"/>
      <c r="K51" s="158"/>
      <c r="L51" s="158"/>
      <c r="M51" s="158"/>
      <c r="N51" s="159"/>
      <c r="O51" s="162"/>
      <c r="P51" s="162"/>
      <c r="U51" s="159"/>
      <c r="V51" s="162"/>
      <c r="W51" s="324">
        <v>18</v>
      </c>
      <c r="X51" s="536" t="e">
        <f t="shared" si="15"/>
        <v>#DIV/0!</v>
      </c>
      <c r="Y51" s="537"/>
      <c r="Z51" s="466">
        <v>0.18377289109048434</v>
      </c>
      <c r="AF51" s="454">
        <v>18</v>
      </c>
      <c r="AG51" s="455">
        <f t="shared" si="7"/>
        <v>0.18377289109048434</v>
      </c>
      <c r="AH51" s="456" t="e">
        <f t="shared" si="16"/>
        <v>#DIV/0!</v>
      </c>
      <c r="AI51" s="456" t="e">
        <f t="shared" si="17"/>
        <v>#DIV/0!</v>
      </c>
      <c r="AJ51" s="457" t="e">
        <f t="shared" si="18"/>
        <v>#DIV/0!</v>
      </c>
    </row>
    <row r="52" spans="3:36" ht="37.5" customHeight="1" thickBot="1" x14ac:dyDescent="0.25">
      <c r="C52" s="352" t="s">
        <v>165</v>
      </c>
      <c r="D52" s="313" t="e">
        <f>+D51/SQRT($W$26)</f>
        <v>#DIV/0!</v>
      </c>
      <c r="E52" s="200" t="e">
        <f>+E51/SQRT($W$26)</f>
        <v>#DIV/0!</v>
      </c>
      <c r="F52" s="200" t="e">
        <f>+F51/SQRT($W$26)</f>
        <v>#DIV/0!</v>
      </c>
      <c r="G52" s="157"/>
      <c r="H52" s="186"/>
      <c r="I52" s="186"/>
      <c r="J52" s="158"/>
      <c r="K52" s="158"/>
      <c r="L52" s="158"/>
      <c r="M52" s="158"/>
      <c r="N52" s="159"/>
      <c r="O52" s="162"/>
      <c r="P52" s="162"/>
      <c r="U52" s="159"/>
      <c r="V52" s="162"/>
      <c r="W52" s="324">
        <v>19</v>
      </c>
      <c r="X52" s="536" t="e">
        <f t="shared" ref="X52:X60" si="19">M34</f>
        <v>#DIV/0!</v>
      </c>
      <c r="Y52" s="537"/>
      <c r="Z52" s="466">
        <v>0.20093889804047649</v>
      </c>
      <c r="AF52" s="454">
        <v>19</v>
      </c>
      <c r="AG52" s="455">
        <f t="shared" si="7"/>
        <v>0.20093889804047649</v>
      </c>
      <c r="AH52" s="456" t="e">
        <f t="shared" si="16"/>
        <v>#DIV/0!</v>
      </c>
      <c r="AI52" s="456" t="e">
        <f t="shared" si="17"/>
        <v>#DIV/0!</v>
      </c>
      <c r="AJ52" s="457" t="e">
        <f t="shared" si="18"/>
        <v>#DIV/0!</v>
      </c>
    </row>
    <row r="53" spans="3:36" ht="20.100000000000001" customHeight="1" thickBot="1" x14ac:dyDescent="0.25">
      <c r="C53" s="196" t="s">
        <v>15</v>
      </c>
      <c r="D53" s="221" t="e">
        <f>(_xlfn.STDEV.S(D34:F42))/SQRT(W24-1)</f>
        <v>#DIV/0!</v>
      </c>
      <c r="E53" s="329"/>
      <c r="F53" s="330"/>
      <c r="G53" s="157"/>
      <c r="H53" s="162"/>
      <c r="I53" s="162"/>
      <c r="J53" s="158"/>
      <c r="K53" s="158"/>
      <c r="L53" s="158"/>
      <c r="M53" s="158"/>
      <c r="N53" s="159"/>
      <c r="O53" s="162"/>
      <c r="P53" s="162"/>
      <c r="U53" s="159"/>
      <c r="V53" s="162"/>
      <c r="W53" s="324">
        <v>20</v>
      </c>
      <c r="X53" s="536" t="e">
        <f t="shared" si="19"/>
        <v>#DIV/0!</v>
      </c>
      <c r="Y53" s="537"/>
      <c r="Z53" s="466">
        <v>0.23992484535483527</v>
      </c>
      <c r="AF53" s="454">
        <v>20</v>
      </c>
      <c r="AG53" s="455">
        <f t="shared" si="7"/>
        <v>0.23992484535483527</v>
      </c>
      <c r="AH53" s="456" t="e">
        <f t="shared" si="16"/>
        <v>#DIV/0!</v>
      </c>
      <c r="AI53" s="456" t="e">
        <f t="shared" si="17"/>
        <v>#DIV/0!</v>
      </c>
      <c r="AJ53" s="457" t="e">
        <f t="shared" si="18"/>
        <v>#DIV/0!</v>
      </c>
    </row>
    <row r="54" spans="3:36" ht="20.100000000000001" customHeight="1" thickBot="1" x14ac:dyDescent="0.25">
      <c r="C54" s="196" t="s">
        <v>0</v>
      </c>
      <c r="D54" s="164" t="e">
        <f>+D51/D50</f>
        <v>#DIV/0!</v>
      </c>
      <c r="E54" s="164" t="e">
        <f>+E51/E50</f>
        <v>#DIV/0!</v>
      </c>
      <c r="F54" s="165" t="e">
        <f>+F51/F50</f>
        <v>#DIV/0!</v>
      </c>
      <c r="G54" s="157"/>
      <c r="H54" s="166"/>
      <c r="I54" s="166"/>
      <c r="J54" s="158"/>
      <c r="K54" s="158"/>
      <c r="L54" s="158"/>
      <c r="M54" s="158"/>
      <c r="N54" s="159"/>
      <c r="O54" s="162"/>
      <c r="P54" s="162"/>
      <c r="U54" s="159"/>
      <c r="V54" s="162"/>
      <c r="W54" s="324">
        <v>21</v>
      </c>
      <c r="X54" s="536" t="e">
        <f t="shared" si="19"/>
        <v>#DIV/0!</v>
      </c>
      <c r="Y54" s="537"/>
      <c r="Z54" s="466">
        <v>0.33944103914109292</v>
      </c>
      <c r="AF54" s="454">
        <v>21</v>
      </c>
      <c r="AG54" s="455">
        <f t="shared" si="7"/>
        <v>0.33944103914109292</v>
      </c>
      <c r="AH54" s="456" t="e">
        <f t="shared" si="16"/>
        <v>#DIV/0!</v>
      </c>
      <c r="AI54" s="456" t="e">
        <f t="shared" si="17"/>
        <v>#DIV/0!</v>
      </c>
      <c r="AJ54" s="457" t="e">
        <f t="shared" si="18"/>
        <v>#DIV/0!</v>
      </c>
    </row>
    <row r="55" spans="3:36" ht="20.100000000000001" customHeight="1" thickBot="1" x14ac:dyDescent="0.25">
      <c r="C55" s="196" t="s">
        <v>17</v>
      </c>
      <c r="D55" s="167" t="e">
        <f>AVERAGE(D50:F50)</f>
        <v>#DIV/0!</v>
      </c>
      <c r="E55" s="329"/>
      <c r="F55" s="329"/>
      <c r="G55" s="157"/>
      <c r="H55" s="163"/>
      <c r="I55" s="163"/>
      <c r="J55" s="326" t="s">
        <v>18</v>
      </c>
      <c r="K55" s="327" t="e">
        <f>+MAX(K34:K38)-MIN(K34:K42)</f>
        <v>#DIV/0!</v>
      </c>
      <c r="L55" s="327" t="e">
        <f>+MAX(L34:L38)-MIN(L34:L42)</f>
        <v>#DIV/0!</v>
      </c>
      <c r="M55" s="328" t="e">
        <f>+MAX(M34:M42)-MIN(M34:M42)</f>
        <v>#DIV/0!</v>
      </c>
      <c r="N55" s="159"/>
      <c r="O55" s="168"/>
      <c r="P55" s="168"/>
      <c r="U55" s="159"/>
      <c r="V55" s="163"/>
      <c r="W55" s="324">
        <v>22</v>
      </c>
      <c r="X55" s="536" t="e">
        <f t="shared" si="19"/>
        <v>#DIV/0!</v>
      </c>
      <c r="Y55" s="537"/>
      <c r="Z55" s="466">
        <v>0.34152506569807883</v>
      </c>
      <c r="AF55" s="454">
        <v>22</v>
      </c>
      <c r="AG55" s="455">
        <f t="shared" si="7"/>
        <v>0.34152506569807883</v>
      </c>
      <c r="AH55" s="456" t="e">
        <f t="shared" si="16"/>
        <v>#DIV/0!</v>
      </c>
      <c r="AI55" s="456" t="e">
        <f t="shared" si="17"/>
        <v>#DIV/0!</v>
      </c>
      <c r="AJ55" s="457" t="e">
        <f t="shared" si="18"/>
        <v>#DIV/0!</v>
      </c>
    </row>
    <row r="56" spans="3:36" ht="20.100000000000001" customHeight="1" x14ac:dyDescent="0.2">
      <c r="C56" s="196" t="s">
        <v>14</v>
      </c>
      <c r="D56" s="169" t="e">
        <f>_xlfn.STDEV.S(D34:F42)</f>
        <v>#DIV/0!</v>
      </c>
      <c r="E56" s="329"/>
      <c r="F56" s="329"/>
      <c r="G56" s="157"/>
      <c r="H56" s="163"/>
      <c r="I56" s="163"/>
      <c r="J56" s="170"/>
      <c r="K56" s="158"/>
      <c r="L56" s="158"/>
      <c r="M56" s="158"/>
      <c r="N56" s="159"/>
      <c r="O56" s="162"/>
      <c r="P56" s="163"/>
      <c r="U56" s="159"/>
      <c r="V56" s="163"/>
      <c r="W56" s="324">
        <v>23</v>
      </c>
      <c r="X56" s="536" t="e">
        <f t="shared" si="19"/>
        <v>#DIV/0!</v>
      </c>
      <c r="Y56" s="537"/>
      <c r="Z56" s="466">
        <v>0.4769242865841079</v>
      </c>
      <c r="AF56" s="454">
        <v>23</v>
      </c>
      <c r="AG56" s="455">
        <f t="shared" si="7"/>
        <v>0.4769242865841079</v>
      </c>
      <c r="AH56" s="456" t="e">
        <f t="shared" si="16"/>
        <v>#DIV/0!</v>
      </c>
      <c r="AI56" s="456" t="e">
        <f t="shared" si="17"/>
        <v>#DIV/0!</v>
      </c>
      <c r="AJ56" s="457" t="e">
        <f t="shared" si="18"/>
        <v>#DIV/0!</v>
      </c>
    </row>
    <row r="57" spans="3:36" ht="20.100000000000001" customHeight="1" thickBot="1" x14ac:dyDescent="0.25">
      <c r="C57" s="197" t="s">
        <v>16</v>
      </c>
      <c r="D57" s="338" t="e">
        <f>+D56/D55</f>
        <v>#DIV/0!</v>
      </c>
      <c r="E57" s="329"/>
      <c r="F57" s="329"/>
      <c r="G57" s="157"/>
      <c r="H57" s="163"/>
      <c r="I57" s="163"/>
      <c r="J57" s="170"/>
      <c r="K57" s="158"/>
      <c r="L57" s="158"/>
      <c r="M57" s="158"/>
      <c r="N57" s="159"/>
      <c r="O57" s="162"/>
      <c r="P57" s="163"/>
      <c r="U57" s="159"/>
      <c r="V57" s="163"/>
      <c r="W57" s="324">
        <v>24</v>
      </c>
      <c r="X57" s="536" t="e">
        <f t="shared" si="19"/>
        <v>#DIV/0!</v>
      </c>
      <c r="Y57" s="537"/>
      <c r="Z57" s="466">
        <v>1.0675537776114652</v>
      </c>
      <c r="AF57" s="454">
        <v>24</v>
      </c>
      <c r="AG57" s="455">
        <f t="shared" si="7"/>
        <v>1.0675537776114652</v>
      </c>
      <c r="AH57" s="456" t="e">
        <f t="shared" si="16"/>
        <v>#DIV/0!</v>
      </c>
      <c r="AI57" s="456" t="e">
        <f t="shared" si="17"/>
        <v>#DIV/0!</v>
      </c>
      <c r="AJ57" s="457" t="e">
        <f t="shared" si="18"/>
        <v>#DIV/0!</v>
      </c>
    </row>
    <row r="58" spans="3:36" ht="35.1" customHeight="1" thickBot="1" x14ac:dyDescent="0.25">
      <c r="D58" s="270" t="s">
        <v>8</v>
      </c>
      <c r="E58" s="271" t="s">
        <v>9</v>
      </c>
      <c r="F58" s="272" t="s">
        <v>10</v>
      </c>
      <c r="G58" s="157"/>
      <c r="H58" s="155"/>
      <c r="I58" s="155"/>
      <c r="J58" s="685" t="s">
        <v>19</v>
      </c>
      <c r="K58" s="273" t="s">
        <v>8</v>
      </c>
      <c r="L58" s="271" t="s">
        <v>9</v>
      </c>
      <c r="M58" s="272" t="s">
        <v>10</v>
      </c>
      <c r="N58" s="159"/>
      <c r="O58" s="155"/>
      <c r="P58" s="155"/>
      <c r="Q58" s="685" t="s">
        <v>20</v>
      </c>
      <c r="R58" s="273" t="s">
        <v>8</v>
      </c>
      <c r="S58" s="271" t="s">
        <v>9</v>
      </c>
      <c r="T58" s="272" t="s">
        <v>10</v>
      </c>
      <c r="U58" s="159"/>
      <c r="V58" s="155"/>
      <c r="W58" s="324">
        <v>25</v>
      </c>
      <c r="X58" s="536" t="e">
        <f t="shared" si="19"/>
        <v>#DIV/0!</v>
      </c>
      <c r="Y58" s="537"/>
      <c r="Z58" s="466">
        <v>1.1697387257154332</v>
      </c>
      <c r="AF58" s="454">
        <v>25</v>
      </c>
      <c r="AG58" s="455">
        <f t="shared" si="7"/>
        <v>1.1697387257154332</v>
      </c>
      <c r="AH58" s="456" t="e">
        <f t="shared" si="16"/>
        <v>#DIV/0!</v>
      </c>
      <c r="AI58" s="456" t="e">
        <f t="shared" si="17"/>
        <v>#DIV/0!</v>
      </c>
      <c r="AJ58" s="457" t="e">
        <f t="shared" si="18"/>
        <v>#DIV/0!</v>
      </c>
    </row>
    <row r="59" spans="3:36" ht="15" customHeight="1" x14ac:dyDescent="0.2">
      <c r="D59" s="331">
        <f t="shared" ref="D59:F63" si="20">+D34</f>
        <v>0</v>
      </c>
      <c r="E59" s="332">
        <f t="shared" si="20"/>
        <v>0</v>
      </c>
      <c r="F59" s="333">
        <f t="shared" si="20"/>
        <v>0</v>
      </c>
      <c r="G59" s="157"/>
      <c r="H59" s="171"/>
      <c r="I59" s="171"/>
      <c r="J59" s="686"/>
      <c r="K59" s="331" t="e">
        <f>+$D$50</f>
        <v>#DIV/0!</v>
      </c>
      <c r="L59" s="332" t="e">
        <f>+$E$50</f>
        <v>#DIV/0!</v>
      </c>
      <c r="M59" s="333" t="e">
        <f>+$F$50</f>
        <v>#DIV/0!</v>
      </c>
      <c r="N59" s="159"/>
      <c r="O59" s="186"/>
      <c r="P59" s="186"/>
      <c r="Q59" s="686"/>
      <c r="R59" s="295" t="e">
        <f t="shared" ref="R59:T63" si="21">+K34</f>
        <v>#DIV/0!</v>
      </c>
      <c r="S59" s="296" t="e">
        <f t="shared" si="21"/>
        <v>#DIV/0!</v>
      </c>
      <c r="T59" s="297" t="e">
        <f t="shared" si="21"/>
        <v>#DIV/0!</v>
      </c>
      <c r="U59" s="159"/>
      <c r="V59" s="186"/>
      <c r="W59" s="324">
        <v>26</v>
      </c>
      <c r="X59" s="536" t="e">
        <f t="shared" si="19"/>
        <v>#DIV/0!</v>
      </c>
      <c r="Y59" s="537"/>
      <c r="Z59" s="466">
        <v>1.2064189470256679</v>
      </c>
      <c r="AF59" s="454">
        <v>26</v>
      </c>
      <c r="AG59" s="455">
        <f t="shared" si="7"/>
        <v>1.2064189470256679</v>
      </c>
      <c r="AH59" s="456" t="e">
        <f t="shared" si="16"/>
        <v>#DIV/0!</v>
      </c>
      <c r="AI59" s="456" t="e">
        <f t="shared" si="17"/>
        <v>#DIV/0!</v>
      </c>
      <c r="AJ59" s="457" t="e">
        <f t="shared" si="18"/>
        <v>#DIV/0!</v>
      </c>
    </row>
    <row r="60" spans="3:36" ht="15" customHeight="1" thickBot="1" x14ac:dyDescent="0.25">
      <c r="D60" s="334">
        <f t="shared" si="20"/>
        <v>0</v>
      </c>
      <c r="E60" s="335">
        <f t="shared" si="20"/>
        <v>0</v>
      </c>
      <c r="F60" s="336">
        <f t="shared" si="20"/>
        <v>0</v>
      </c>
      <c r="G60" s="157"/>
      <c r="H60" s="171"/>
      <c r="I60" s="171"/>
      <c r="J60" s="686"/>
      <c r="K60" s="334" t="e">
        <f>+$D$50</f>
        <v>#DIV/0!</v>
      </c>
      <c r="L60" s="335" t="e">
        <f>+$E$50</f>
        <v>#DIV/0!</v>
      </c>
      <c r="M60" s="336" t="e">
        <f>+$F$50</f>
        <v>#DIV/0!</v>
      </c>
      <c r="N60" s="159"/>
      <c r="O60" s="186"/>
      <c r="P60" s="186"/>
      <c r="Q60" s="686"/>
      <c r="R60" s="298" t="e">
        <f t="shared" si="21"/>
        <v>#DIV/0!</v>
      </c>
      <c r="S60" s="299" t="e">
        <f t="shared" si="21"/>
        <v>#DIV/0!</v>
      </c>
      <c r="T60" s="300" t="e">
        <f t="shared" si="21"/>
        <v>#DIV/0!</v>
      </c>
      <c r="U60" s="159"/>
      <c r="V60" s="186"/>
      <c r="W60" s="325">
        <v>27</v>
      </c>
      <c r="X60" s="707" t="e">
        <f t="shared" si="19"/>
        <v>#DIV/0!</v>
      </c>
      <c r="Y60" s="708"/>
      <c r="Z60" s="467">
        <v>1.2865512808275525</v>
      </c>
      <c r="AF60" s="458">
        <v>27</v>
      </c>
      <c r="AG60" s="459">
        <f t="shared" si="7"/>
        <v>1.2865512808275525</v>
      </c>
      <c r="AH60" s="460" t="e">
        <f t="shared" si="16"/>
        <v>#DIV/0!</v>
      </c>
      <c r="AI60" s="460" t="e">
        <f t="shared" si="17"/>
        <v>#DIV/0!</v>
      </c>
      <c r="AJ60" s="461" t="e">
        <f t="shared" si="18"/>
        <v>#DIV/0!</v>
      </c>
    </row>
    <row r="61" spans="3:36" ht="15" customHeight="1" x14ac:dyDescent="0.2">
      <c r="D61" s="334">
        <f t="shared" si="20"/>
        <v>0</v>
      </c>
      <c r="E61" s="335">
        <f t="shared" si="20"/>
        <v>0</v>
      </c>
      <c r="F61" s="336">
        <f t="shared" si="20"/>
        <v>0</v>
      </c>
      <c r="G61" s="157"/>
      <c r="H61" s="171"/>
      <c r="I61" s="171"/>
      <c r="J61" s="686"/>
      <c r="K61" s="334" t="e">
        <f>+$D$50</f>
        <v>#DIV/0!</v>
      </c>
      <c r="L61" s="335" t="e">
        <f>+$E$50</f>
        <v>#DIV/0!</v>
      </c>
      <c r="M61" s="336" t="e">
        <f>+$F$50</f>
        <v>#DIV/0!</v>
      </c>
      <c r="N61" s="159"/>
      <c r="O61" s="186"/>
      <c r="P61" s="186"/>
      <c r="Q61" s="686"/>
      <c r="R61" s="298" t="e">
        <f t="shared" si="21"/>
        <v>#DIV/0!</v>
      </c>
      <c r="S61" s="299" t="e">
        <f t="shared" si="21"/>
        <v>#DIV/0!</v>
      </c>
      <c r="T61" s="300" t="e">
        <f t="shared" si="21"/>
        <v>#DIV/0!</v>
      </c>
      <c r="U61" s="159"/>
      <c r="V61" s="186"/>
      <c r="W61" s="186"/>
    </row>
    <row r="62" spans="3:36" ht="15" customHeight="1" x14ac:dyDescent="0.2">
      <c r="D62" s="334">
        <f t="shared" si="20"/>
        <v>0</v>
      </c>
      <c r="E62" s="335">
        <f t="shared" si="20"/>
        <v>0</v>
      </c>
      <c r="F62" s="336">
        <f t="shared" si="20"/>
        <v>0</v>
      </c>
      <c r="G62" s="157"/>
      <c r="H62" s="171"/>
      <c r="I62" s="171"/>
      <c r="J62" s="686"/>
      <c r="K62" s="334" t="e">
        <f>+$D$50</f>
        <v>#DIV/0!</v>
      </c>
      <c r="L62" s="335" t="e">
        <f>+$E$50</f>
        <v>#DIV/0!</v>
      </c>
      <c r="M62" s="336" t="e">
        <f>+$F$50</f>
        <v>#DIV/0!</v>
      </c>
      <c r="N62" s="159"/>
      <c r="O62" s="186"/>
      <c r="P62" s="186"/>
      <c r="Q62" s="686"/>
      <c r="R62" s="298" t="e">
        <f t="shared" si="21"/>
        <v>#DIV/0!</v>
      </c>
      <c r="S62" s="299" t="e">
        <f t="shared" si="21"/>
        <v>#DIV/0!</v>
      </c>
      <c r="T62" s="300" t="e">
        <f t="shared" si="21"/>
        <v>#DIV/0!</v>
      </c>
      <c r="U62" s="159"/>
      <c r="V62" s="186"/>
      <c r="W62" s="186"/>
    </row>
    <row r="63" spans="3:36" ht="15" customHeight="1" x14ac:dyDescent="0.2">
      <c r="D63" s="354">
        <f t="shared" si="20"/>
        <v>0</v>
      </c>
      <c r="E63" s="355">
        <f>E38</f>
        <v>0</v>
      </c>
      <c r="F63" s="336">
        <f t="shared" si="20"/>
        <v>0</v>
      </c>
      <c r="G63" s="157"/>
      <c r="H63" s="171"/>
      <c r="I63" s="171"/>
      <c r="J63" s="686"/>
      <c r="K63" s="334" t="e">
        <f>+$D$50</f>
        <v>#DIV/0!</v>
      </c>
      <c r="L63" s="335" t="e">
        <f>+$E$50</f>
        <v>#DIV/0!</v>
      </c>
      <c r="M63" s="336" t="e">
        <f>+$F$50</f>
        <v>#DIV/0!</v>
      </c>
      <c r="N63" s="159"/>
      <c r="O63" s="186"/>
      <c r="P63" s="186"/>
      <c r="Q63" s="686"/>
      <c r="R63" s="298" t="e">
        <f t="shared" si="21"/>
        <v>#DIV/0!</v>
      </c>
      <c r="S63" s="299" t="e">
        <f t="shared" si="21"/>
        <v>#DIV/0!</v>
      </c>
      <c r="T63" s="300" t="e">
        <f t="shared" si="21"/>
        <v>#DIV/0!</v>
      </c>
      <c r="U63" s="159"/>
      <c r="V63" s="186"/>
      <c r="W63" s="186"/>
    </row>
    <row r="64" spans="3:36" ht="15" customHeight="1" x14ac:dyDescent="0.2">
      <c r="D64" s="334">
        <f>+D39</f>
        <v>0</v>
      </c>
      <c r="E64" s="335">
        <f t="shared" ref="E64:F64" si="22">+E39</f>
        <v>0</v>
      </c>
      <c r="F64" s="336">
        <f t="shared" si="22"/>
        <v>0</v>
      </c>
      <c r="G64" s="157"/>
      <c r="H64" s="171"/>
      <c r="I64" s="171"/>
      <c r="J64" s="686"/>
      <c r="K64" s="334" t="e">
        <f t="shared" ref="K64:K67" si="23">+$D$50</f>
        <v>#DIV/0!</v>
      </c>
      <c r="L64" s="335" t="e">
        <f t="shared" ref="L64:L67" si="24">+$E$50</f>
        <v>#DIV/0!</v>
      </c>
      <c r="M64" s="336" t="e">
        <f t="shared" ref="M64:M67" si="25">+$F$50</f>
        <v>#DIV/0!</v>
      </c>
      <c r="N64" s="159"/>
      <c r="O64" s="186"/>
      <c r="P64" s="186"/>
      <c r="Q64" s="686"/>
      <c r="R64" s="298" t="e">
        <f t="shared" ref="R64:T64" si="26">+K39</f>
        <v>#DIV/0!</v>
      </c>
      <c r="S64" s="299" t="e">
        <f t="shared" si="26"/>
        <v>#DIV/0!</v>
      </c>
      <c r="T64" s="300" t="e">
        <f t="shared" si="26"/>
        <v>#DIV/0!</v>
      </c>
      <c r="U64" s="159"/>
      <c r="V64" s="186"/>
      <c r="W64" s="186"/>
    </row>
    <row r="65" spans="1:36" ht="15" customHeight="1" x14ac:dyDescent="0.2">
      <c r="D65" s="334">
        <f t="shared" ref="D65:F67" si="27">+D40</f>
        <v>0</v>
      </c>
      <c r="E65" s="335">
        <f t="shared" si="27"/>
        <v>0</v>
      </c>
      <c r="F65" s="336">
        <f t="shared" si="27"/>
        <v>0</v>
      </c>
      <c r="G65" s="157"/>
      <c r="H65" s="171"/>
      <c r="I65" s="171"/>
      <c r="J65" s="686"/>
      <c r="K65" s="334" t="e">
        <f t="shared" si="23"/>
        <v>#DIV/0!</v>
      </c>
      <c r="L65" s="335" t="e">
        <f t="shared" si="24"/>
        <v>#DIV/0!</v>
      </c>
      <c r="M65" s="336" t="e">
        <f t="shared" si="25"/>
        <v>#DIV/0!</v>
      </c>
      <c r="N65" s="159"/>
      <c r="O65" s="186"/>
      <c r="P65" s="186"/>
      <c r="Q65" s="686"/>
      <c r="R65" s="298" t="e">
        <f t="shared" ref="R65:T65" si="28">+K40</f>
        <v>#DIV/0!</v>
      </c>
      <c r="S65" s="299" t="e">
        <f t="shared" si="28"/>
        <v>#DIV/0!</v>
      </c>
      <c r="T65" s="300" t="e">
        <f t="shared" si="28"/>
        <v>#DIV/0!</v>
      </c>
      <c r="U65" s="159"/>
      <c r="V65" s="186"/>
      <c r="W65" s="186"/>
    </row>
    <row r="66" spans="1:36" ht="15" customHeight="1" x14ac:dyDescent="0.2">
      <c r="D66" s="334">
        <f t="shared" si="27"/>
        <v>0</v>
      </c>
      <c r="E66" s="335">
        <f t="shared" si="27"/>
        <v>0</v>
      </c>
      <c r="F66" s="336">
        <f t="shared" si="27"/>
        <v>0</v>
      </c>
      <c r="G66" s="157"/>
      <c r="H66" s="171"/>
      <c r="I66" s="171"/>
      <c r="J66" s="686"/>
      <c r="K66" s="334" t="e">
        <f t="shared" si="23"/>
        <v>#DIV/0!</v>
      </c>
      <c r="L66" s="335" t="e">
        <f t="shared" si="24"/>
        <v>#DIV/0!</v>
      </c>
      <c r="M66" s="336" t="e">
        <f t="shared" si="25"/>
        <v>#DIV/0!</v>
      </c>
      <c r="N66" s="159"/>
      <c r="O66" s="186"/>
      <c r="P66" s="186"/>
      <c r="Q66" s="686"/>
      <c r="R66" s="298" t="e">
        <f t="shared" ref="R66:T66" si="29">+K41</f>
        <v>#DIV/0!</v>
      </c>
      <c r="S66" s="299" t="e">
        <f t="shared" si="29"/>
        <v>#DIV/0!</v>
      </c>
      <c r="T66" s="300" t="e">
        <f t="shared" si="29"/>
        <v>#DIV/0!</v>
      </c>
      <c r="U66" s="159"/>
      <c r="V66" s="186"/>
      <c r="W66" s="186"/>
    </row>
    <row r="67" spans="1:36" ht="15" customHeight="1" x14ac:dyDescent="0.2">
      <c r="D67" s="334">
        <f t="shared" si="27"/>
        <v>0</v>
      </c>
      <c r="E67" s="335">
        <f t="shared" si="27"/>
        <v>0</v>
      </c>
      <c r="F67" s="336">
        <f t="shared" si="27"/>
        <v>0</v>
      </c>
      <c r="G67" s="157"/>
      <c r="H67" s="171"/>
      <c r="I67" s="171"/>
      <c r="J67" s="686"/>
      <c r="K67" s="334" t="e">
        <f t="shared" si="23"/>
        <v>#DIV/0!</v>
      </c>
      <c r="L67" s="335" t="e">
        <f t="shared" si="24"/>
        <v>#DIV/0!</v>
      </c>
      <c r="M67" s="336" t="e">
        <f t="shared" si="25"/>
        <v>#DIV/0!</v>
      </c>
      <c r="N67" s="159"/>
      <c r="O67" s="186"/>
      <c r="P67" s="186"/>
      <c r="Q67" s="686"/>
      <c r="R67" s="298" t="e">
        <f t="shared" ref="R67:T67" si="30">+K42</f>
        <v>#DIV/0!</v>
      </c>
      <c r="S67" s="299" t="e">
        <f t="shared" si="30"/>
        <v>#DIV/0!</v>
      </c>
      <c r="T67" s="300" t="e">
        <f t="shared" si="30"/>
        <v>#DIV/0!</v>
      </c>
      <c r="U67" s="159"/>
      <c r="V67" s="186"/>
      <c r="W67" s="186"/>
    </row>
    <row r="68" spans="1:36" ht="15" customHeight="1" thickBot="1" x14ac:dyDescent="0.25">
      <c r="D68" s="202"/>
      <c r="E68" s="201"/>
      <c r="F68" s="234"/>
      <c r="G68" s="157"/>
      <c r="H68" s="171"/>
      <c r="I68" s="171"/>
      <c r="J68" s="687"/>
      <c r="K68" s="356"/>
      <c r="L68" s="357"/>
      <c r="M68" s="358"/>
      <c r="N68" s="159"/>
      <c r="O68" s="186"/>
      <c r="P68" s="186"/>
      <c r="Q68" s="687"/>
      <c r="R68" s="301"/>
      <c r="S68" s="302"/>
      <c r="T68" s="303"/>
      <c r="U68" s="159"/>
      <c r="V68" s="186"/>
      <c r="W68" s="186"/>
    </row>
    <row r="69" spans="1:36" ht="25.5" x14ac:dyDescent="0.2">
      <c r="D69" s="236"/>
      <c r="E69" s="182"/>
      <c r="F69" s="182"/>
      <c r="G69" s="157"/>
      <c r="H69" s="171"/>
      <c r="I69" s="171"/>
      <c r="J69" s="235"/>
      <c r="K69" s="173"/>
      <c r="L69" s="173"/>
      <c r="M69" s="173"/>
      <c r="N69" s="159"/>
      <c r="O69" s="186"/>
      <c r="P69" s="186"/>
      <c r="Q69" s="235"/>
      <c r="R69" s="173"/>
      <c r="S69" s="173"/>
      <c r="T69" s="173"/>
      <c r="U69" s="159"/>
      <c r="V69" s="186"/>
      <c r="W69" s="186"/>
    </row>
    <row r="70" spans="1:36" ht="15.75" thickBot="1" x14ac:dyDescent="0.25">
      <c r="G70" s="157"/>
      <c r="H70" s="163"/>
      <c r="I70" s="163"/>
      <c r="N70" s="159"/>
      <c r="O70" s="163"/>
      <c r="P70" s="163"/>
      <c r="U70" s="159"/>
      <c r="V70" s="163"/>
      <c r="W70" s="163"/>
    </row>
    <row r="71" spans="1:36" ht="35.1" customHeight="1" thickBot="1" x14ac:dyDescent="0.25">
      <c r="D71" s="270" t="s">
        <v>8</v>
      </c>
      <c r="E71" s="271" t="s">
        <v>9</v>
      </c>
      <c r="F71" s="272" t="s">
        <v>10</v>
      </c>
      <c r="G71" s="157"/>
      <c r="H71" s="155"/>
      <c r="I71" s="155"/>
      <c r="K71" s="270" t="s">
        <v>8</v>
      </c>
      <c r="L71" s="271" t="s">
        <v>9</v>
      </c>
      <c r="M71" s="272" t="s">
        <v>10</v>
      </c>
      <c r="N71" s="159"/>
      <c r="O71" s="155"/>
      <c r="P71" s="155"/>
      <c r="R71" s="270" t="s">
        <v>8</v>
      </c>
      <c r="S71" s="271" t="s">
        <v>9</v>
      </c>
      <c r="T71" s="271" t="s">
        <v>10</v>
      </c>
      <c r="U71" s="159"/>
      <c r="V71" s="155"/>
      <c r="W71" s="155"/>
      <c r="AB71" s="153"/>
      <c r="AC71" s="172"/>
      <c r="AD71" s="153"/>
      <c r="AE71" s="153"/>
      <c r="AF71" s="153"/>
      <c r="AG71" s="173"/>
      <c r="AH71" s="232"/>
      <c r="AI71" s="232"/>
      <c r="AJ71" s="232"/>
    </row>
    <row r="72" spans="1:36" ht="15" customHeight="1" x14ac:dyDescent="0.2">
      <c r="D72" s="295" t="e">
        <f t="shared" ref="D72:F76" si="31">+D59-$D$55</f>
        <v>#DIV/0!</v>
      </c>
      <c r="E72" s="296" t="e">
        <f t="shared" si="31"/>
        <v>#DIV/0!</v>
      </c>
      <c r="F72" s="297" t="e">
        <f t="shared" si="31"/>
        <v>#DIV/0!</v>
      </c>
      <c r="G72" s="157"/>
      <c r="H72" s="186"/>
      <c r="I72" s="186"/>
      <c r="J72" s="685" t="s">
        <v>19</v>
      </c>
      <c r="K72" s="295" t="e">
        <f t="shared" ref="K72:M76" si="32">+K59-$D$55</f>
        <v>#DIV/0!</v>
      </c>
      <c r="L72" s="296" t="e">
        <f t="shared" si="32"/>
        <v>#DIV/0!</v>
      </c>
      <c r="M72" s="297" t="e">
        <f t="shared" si="32"/>
        <v>#DIV/0!</v>
      </c>
      <c r="N72" s="159"/>
      <c r="O72" s="186"/>
      <c r="P72" s="186"/>
      <c r="Q72" s="685" t="s">
        <v>20</v>
      </c>
      <c r="R72" s="295" t="e">
        <f t="shared" ref="R72:T76" si="33">+R59</f>
        <v>#DIV/0!</v>
      </c>
      <c r="S72" s="296" t="e">
        <f t="shared" si="33"/>
        <v>#DIV/0!</v>
      </c>
      <c r="T72" s="297" t="e">
        <f t="shared" si="33"/>
        <v>#DIV/0!</v>
      </c>
      <c r="U72" s="159"/>
      <c r="V72" s="186"/>
      <c r="W72" s="186"/>
      <c r="AB72" s="153"/>
      <c r="AC72" s="172"/>
      <c r="AD72" s="153"/>
      <c r="AE72" s="153"/>
      <c r="AF72" s="153"/>
      <c r="AG72" s="173"/>
      <c r="AH72" s="232"/>
      <c r="AI72" s="232"/>
      <c r="AJ72" s="232"/>
    </row>
    <row r="73" spans="1:36" ht="15" customHeight="1" x14ac:dyDescent="0.2">
      <c r="D73" s="298" t="e">
        <f t="shared" si="31"/>
        <v>#DIV/0!</v>
      </c>
      <c r="E73" s="299" t="e">
        <f t="shared" si="31"/>
        <v>#DIV/0!</v>
      </c>
      <c r="F73" s="300" t="e">
        <f t="shared" si="31"/>
        <v>#DIV/0!</v>
      </c>
      <c r="G73" s="157"/>
      <c r="I73" s="186"/>
      <c r="J73" s="688"/>
      <c r="K73" s="298" t="e">
        <f t="shared" si="32"/>
        <v>#DIV/0!</v>
      </c>
      <c r="L73" s="299" t="e">
        <f t="shared" si="32"/>
        <v>#DIV/0!</v>
      </c>
      <c r="M73" s="300" t="e">
        <f t="shared" si="32"/>
        <v>#DIV/0!</v>
      </c>
      <c r="N73" s="159"/>
      <c r="O73" s="186"/>
      <c r="P73" s="186"/>
      <c r="Q73" s="688"/>
      <c r="R73" s="298" t="e">
        <f t="shared" si="33"/>
        <v>#DIV/0!</v>
      </c>
      <c r="S73" s="299" t="e">
        <f t="shared" si="33"/>
        <v>#DIV/0!</v>
      </c>
      <c r="T73" s="300" t="e">
        <f t="shared" si="33"/>
        <v>#DIV/0!</v>
      </c>
      <c r="U73" s="159"/>
      <c r="V73" s="186"/>
      <c r="W73" s="186"/>
      <c r="AB73" s="153"/>
      <c r="AC73" s="172"/>
      <c r="AD73" s="153"/>
      <c r="AE73" s="153"/>
      <c r="AF73" s="153"/>
      <c r="AG73" s="173"/>
      <c r="AH73" s="232"/>
      <c r="AI73" s="232"/>
      <c r="AJ73" s="232"/>
    </row>
    <row r="74" spans="1:36" ht="15" customHeight="1" x14ac:dyDescent="0.25">
      <c r="A74"/>
      <c r="D74" s="298" t="e">
        <f t="shared" si="31"/>
        <v>#DIV/0!</v>
      </c>
      <c r="E74" s="299" t="e">
        <f t="shared" si="31"/>
        <v>#DIV/0!</v>
      </c>
      <c r="F74" s="300" t="e">
        <f t="shared" si="31"/>
        <v>#DIV/0!</v>
      </c>
      <c r="G74" s="157"/>
      <c r="I74" s="186"/>
      <c r="J74" s="688"/>
      <c r="K74" s="298" t="e">
        <f t="shared" si="32"/>
        <v>#DIV/0!</v>
      </c>
      <c r="L74" s="299" t="e">
        <f t="shared" si="32"/>
        <v>#DIV/0!</v>
      </c>
      <c r="M74" s="300" t="e">
        <f t="shared" si="32"/>
        <v>#DIV/0!</v>
      </c>
      <c r="N74" s="159"/>
      <c r="O74" s="186"/>
      <c r="P74" s="186"/>
      <c r="Q74" s="688"/>
      <c r="R74" s="298" t="e">
        <f t="shared" si="33"/>
        <v>#DIV/0!</v>
      </c>
      <c r="S74" s="299" t="e">
        <f t="shared" si="33"/>
        <v>#DIV/0!</v>
      </c>
      <c r="T74" s="300" t="e">
        <f t="shared" si="33"/>
        <v>#DIV/0!</v>
      </c>
      <c r="U74" s="159"/>
      <c r="V74" s="186"/>
      <c r="W74" s="186"/>
      <c r="AB74" s="153"/>
      <c r="AC74" s="172"/>
      <c r="AD74" s="153"/>
      <c r="AE74" s="153"/>
      <c r="AF74" s="153"/>
      <c r="AG74" s="173"/>
      <c r="AH74" s="232"/>
      <c r="AI74" s="232"/>
      <c r="AJ74" s="232"/>
    </row>
    <row r="75" spans="1:36" ht="15" customHeight="1" x14ac:dyDescent="0.25">
      <c r="A75"/>
      <c r="D75" s="298" t="e">
        <f t="shared" si="31"/>
        <v>#DIV/0!</v>
      </c>
      <c r="E75" s="299" t="e">
        <f t="shared" si="31"/>
        <v>#DIV/0!</v>
      </c>
      <c r="F75" s="300" t="e">
        <f t="shared" si="31"/>
        <v>#DIV/0!</v>
      </c>
      <c r="G75" s="157"/>
      <c r="I75" s="186"/>
      <c r="J75" s="688"/>
      <c r="K75" s="298" t="e">
        <f t="shared" si="32"/>
        <v>#DIV/0!</v>
      </c>
      <c r="L75" s="299" t="e">
        <f t="shared" si="32"/>
        <v>#DIV/0!</v>
      </c>
      <c r="M75" s="300" t="e">
        <f t="shared" si="32"/>
        <v>#DIV/0!</v>
      </c>
      <c r="N75" s="159"/>
      <c r="O75" s="186"/>
      <c r="Q75" s="688"/>
      <c r="R75" s="298" t="e">
        <f t="shared" si="33"/>
        <v>#DIV/0!</v>
      </c>
      <c r="S75" s="299" t="e">
        <f t="shared" si="33"/>
        <v>#DIV/0!</v>
      </c>
      <c r="T75" s="300" t="e">
        <f t="shared" si="33"/>
        <v>#DIV/0!</v>
      </c>
      <c r="U75" s="159"/>
      <c r="V75" s="186"/>
      <c r="W75" s="186"/>
      <c r="AB75" s="153"/>
      <c r="AC75" s="172"/>
      <c r="AD75" s="153"/>
      <c r="AE75" s="153"/>
      <c r="AF75" s="153"/>
      <c r="AG75" s="173"/>
      <c r="AH75" s="232"/>
      <c r="AI75" s="232"/>
      <c r="AJ75" s="232"/>
    </row>
    <row r="76" spans="1:36" ht="15" customHeight="1" x14ac:dyDescent="0.2">
      <c r="D76" s="359" t="e">
        <f t="shared" si="31"/>
        <v>#DIV/0!</v>
      </c>
      <c r="E76" s="233" t="e">
        <f t="shared" si="31"/>
        <v>#DIV/0!</v>
      </c>
      <c r="F76" s="300" t="e">
        <f t="shared" si="31"/>
        <v>#DIV/0!</v>
      </c>
      <c r="G76" s="157"/>
      <c r="I76" s="186"/>
      <c r="J76" s="688"/>
      <c r="K76" s="298" t="e">
        <f t="shared" si="32"/>
        <v>#DIV/0!</v>
      </c>
      <c r="L76" s="299" t="e">
        <f t="shared" si="32"/>
        <v>#DIV/0!</v>
      </c>
      <c r="M76" s="300" t="e">
        <f t="shared" si="32"/>
        <v>#DIV/0!</v>
      </c>
      <c r="N76" s="159"/>
      <c r="O76" s="186"/>
      <c r="Q76" s="688"/>
      <c r="R76" s="298" t="e">
        <f t="shared" si="33"/>
        <v>#DIV/0!</v>
      </c>
      <c r="S76" s="299" t="e">
        <f t="shared" si="33"/>
        <v>#DIV/0!</v>
      </c>
      <c r="T76" s="300" t="e">
        <f t="shared" si="33"/>
        <v>#DIV/0!</v>
      </c>
      <c r="U76" s="159"/>
      <c r="V76" s="186"/>
      <c r="W76" s="186"/>
      <c r="AB76" s="153"/>
      <c r="AC76" s="161"/>
      <c r="AD76" s="153"/>
      <c r="AE76" s="153"/>
      <c r="AF76" s="153"/>
      <c r="AG76" s="173"/>
      <c r="AH76" s="232"/>
      <c r="AI76" s="232"/>
      <c r="AJ76" s="232"/>
    </row>
    <row r="77" spans="1:36" ht="15" customHeight="1" x14ac:dyDescent="0.2">
      <c r="D77" s="298" t="e">
        <f t="shared" ref="D77:F80" si="34">+D64-$D$55</f>
        <v>#DIV/0!</v>
      </c>
      <c r="E77" s="299" t="e">
        <f t="shared" si="34"/>
        <v>#DIV/0!</v>
      </c>
      <c r="F77" s="300" t="e">
        <f t="shared" si="34"/>
        <v>#DIV/0!</v>
      </c>
      <c r="G77" s="157"/>
      <c r="I77" s="186"/>
      <c r="J77" s="688"/>
      <c r="K77" s="298" t="e">
        <f t="shared" ref="K77:M77" si="35">+K64-$D$55</f>
        <v>#DIV/0!</v>
      </c>
      <c r="L77" s="299" t="e">
        <f t="shared" si="35"/>
        <v>#DIV/0!</v>
      </c>
      <c r="M77" s="300" t="e">
        <f t="shared" si="35"/>
        <v>#DIV/0!</v>
      </c>
      <c r="N77" s="159"/>
      <c r="O77" s="186"/>
      <c r="Q77" s="688"/>
      <c r="R77" s="298" t="e">
        <f t="shared" ref="R77:T77" si="36">+R64</f>
        <v>#DIV/0!</v>
      </c>
      <c r="S77" s="299" t="e">
        <f t="shared" si="36"/>
        <v>#DIV/0!</v>
      </c>
      <c r="T77" s="300" t="e">
        <f t="shared" si="36"/>
        <v>#DIV/0!</v>
      </c>
      <c r="U77" s="159"/>
      <c r="V77" s="186"/>
      <c r="W77" s="186"/>
      <c r="AB77" s="153"/>
      <c r="AC77" s="161"/>
      <c r="AD77" s="153"/>
      <c r="AE77" s="153"/>
      <c r="AF77" s="153"/>
      <c r="AG77" s="173"/>
      <c r="AH77" s="232"/>
      <c r="AI77" s="232"/>
      <c r="AJ77" s="232"/>
    </row>
    <row r="78" spans="1:36" ht="15" customHeight="1" x14ac:dyDescent="0.2">
      <c r="D78" s="298" t="e">
        <f t="shared" si="34"/>
        <v>#DIV/0!</v>
      </c>
      <c r="E78" s="299" t="e">
        <f t="shared" si="34"/>
        <v>#DIV/0!</v>
      </c>
      <c r="F78" s="300" t="e">
        <f t="shared" si="34"/>
        <v>#DIV/0!</v>
      </c>
      <c r="G78" s="157"/>
      <c r="I78" s="186"/>
      <c r="J78" s="688"/>
      <c r="K78" s="298" t="e">
        <f t="shared" ref="K78:M78" si="37">+K65-$D$55</f>
        <v>#DIV/0!</v>
      </c>
      <c r="L78" s="299" t="e">
        <f t="shared" si="37"/>
        <v>#DIV/0!</v>
      </c>
      <c r="M78" s="300" t="e">
        <f t="shared" si="37"/>
        <v>#DIV/0!</v>
      </c>
      <c r="N78" s="159"/>
      <c r="O78" s="186"/>
      <c r="Q78" s="688"/>
      <c r="R78" s="298" t="e">
        <f t="shared" ref="R78:T78" si="38">+R65</f>
        <v>#DIV/0!</v>
      </c>
      <c r="S78" s="299" t="e">
        <f t="shared" si="38"/>
        <v>#DIV/0!</v>
      </c>
      <c r="T78" s="300" t="e">
        <f t="shared" si="38"/>
        <v>#DIV/0!</v>
      </c>
      <c r="U78" s="159"/>
      <c r="V78" s="186"/>
      <c r="W78" s="186"/>
      <c r="AB78" s="153"/>
      <c r="AC78" s="161"/>
      <c r="AD78" s="153"/>
      <c r="AE78" s="153"/>
      <c r="AF78" s="153"/>
      <c r="AG78" s="173"/>
      <c r="AH78" s="232"/>
      <c r="AI78" s="232"/>
      <c r="AJ78" s="232"/>
    </row>
    <row r="79" spans="1:36" ht="15" customHeight="1" x14ac:dyDescent="0.2">
      <c r="D79" s="298" t="e">
        <f t="shared" si="34"/>
        <v>#DIV/0!</v>
      </c>
      <c r="E79" s="299" t="e">
        <f t="shared" si="34"/>
        <v>#DIV/0!</v>
      </c>
      <c r="F79" s="300" t="e">
        <f t="shared" si="34"/>
        <v>#DIV/0!</v>
      </c>
      <c r="G79" s="157"/>
      <c r="H79" s="186"/>
      <c r="I79" s="186"/>
      <c r="J79" s="688"/>
      <c r="K79" s="298" t="e">
        <f t="shared" ref="K79:M79" si="39">+K66-$D$55</f>
        <v>#DIV/0!</v>
      </c>
      <c r="L79" s="299" t="e">
        <f t="shared" si="39"/>
        <v>#DIV/0!</v>
      </c>
      <c r="M79" s="300" t="e">
        <f t="shared" si="39"/>
        <v>#DIV/0!</v>
      </c>
      <c r="N79" s="159"/>
      <c r="O79" s="186"/>
      <c r="Q79" s="688"/>
      <c r="R79" s="298" t="e">
        <f t="shared" ref="R79:T79" si="40">+R66</f>
        <v>#DIV/0!</v>
      </c>
      <c r="S79" s="299" t="e">
        <f t="shared" si="40"/>
        <v>#DIV/0!</v>
      </c>
      <c r="T79" s="300" t="e">
        <f t="shared" si="40"/>
        <v>#DIV/0!</v>
      </c>
      <c r="U79" s="159"/>
      <c r="V79" s="186"/>
      <c r="W79" s="186"/>
      <c r="AB79" s="153"/>
      <c r="AC79" s="161"/>
      <c r="AD79" s="153"/>
      <c r="AE79" s="153"/>
      <c r="AF79" s="153"/>
      <c r="AG79" s="173"/>
      <c r="AH79" s="232"/>
      <c r="AI79" s="232"/>
      <c r="AJ79" s="232"/>
    </row>
    <row r="80" spans="1:36" ht="15" customHeight="1" thickBot="1" x14ac:dyDescent="0.25">
      <c r="D80" s="301" t="e">
        <f t="shared" si="34"/>
        <v>#DIV/0!</v>
      </c>
      <c r="E80" s="302" t="e">
        <f t="shared" si="34"/>
        <v>#DIV/0!</v>
      </c>
      <c r="F80" s="303" t="e">
        <f t="shared" si="34"/>
        <v>#DIV/0!</v>
      </c>
      <c r="G80" s="157"/>
      <c r="H80" s="186"/>
      <c r="I80" s="186"/>
      <c r="J80" s="689"/>
      <c r="K80" s="301" t="e">
        <f t="shared" ref="K80:M80" si="41">+K67-$D$55</f>
        <v>#DIV/0!</v>
      </c>
      <c r="L80" s="302" t="e">
        <f t="shared" si="41"/>
        <v>#DIV/0!</v>
      </c>
      <c r="M80" s="303" t="e">
        <f t="shared" si="41"/>
        <v>#DIV/0!</v>
      </c>
      <c r="N80" s="159"/>
      <c r="O80" s="186"/>
      <c r="Q80" s="689"/>
      <c r="R80" s="301" t="e">
        <f t="shared" ref="R80:T80" si="42">+R67</f>
        <v>#DIV/0!</v>
      </c>
      <c r="S80" s="302" t="e">
        <f t="shared" si="42"/>
        <v>#DIV/0!</v>
      </c>
      <c r="T80" s="303" t="e">
        <f t="shared" si="42"/>
        <v>#DIV/0!</v>
      </c>
      <c r="U80" s="159"/>
      <c r="V80" s="186"/>
      <c r="W80" s="186"/>
      <c r="AB80" s="153"/>
      <c r="AC80" s="161"/>
      <c r="AD80" s="153"/>
      <c r="AE80" s="153"/>
      <c r="AF80" s="153"/>
      <c r="AG80" s="173"/>
      <c r="AH80" s="232"/>
      <c r="AI80" s="232"/>
      <c r="AJ80" s="232"/>
    </row>
    <row r="81" spans="3:36" ht="25.5" x14ac:dyDescent="0.2">
      <c r="D81" s="173"/>
      <c r="E81" s="173"/>
      <c r="F81" s="173"/>
      <c r="G81" s="157"/>
      <c r="H81" s="186"/>
      <c r="I81" s="186"/>
      <c r="J81" s="235"/>
      <c r="K81" s="173"/>
      <c r="L81" s="173"/>
      <c r="M81" s="173"/>
      <c r="N81" s="159"/>
      <c r="O81" s="186"/>
      <c r="P81" s="186"/>
      <c r="Q81" s="235"/>
      <c r="R81" s="173"/>
      <c r="S81" s="173"/>
      <c r="T81" s="173"/>
      <c r="U81" s="159"/>
      <c r="V81" s="186"/>
      <c r="W81" s="186"/>
      <c r="AB81" s="153"/>
      <c r="AC81" s="161"/>
      <c r="AD81" s="153"/>
      <c r="AE81" s="153"/>
      <c r="AF81" s="153"/>
      <c r="AG81" s="173"/>
      <c r="AH81" s="232"/>
      <c r="AI81" s="232"/>
      <c r="AJ81" s="232"/>
    </row>
    <row r="82" spans="3:36" ht="25.5" x14ac:dyDescent="0.2">
      <c r="D82" s="173"/>
      <c r="E82" s="173"/>
      <c r="F82" s="173"/>
      <c r="G82" s="157"/>
      <c r="H82" s="186"/>
      <c r="I82" s="186"/>
      <c r="J82" s="235"/>
      <c r="K82" s="173"/>
      <c r="L82" s="173"/>
      <c r="M82" s="173"/>
      <c r="N82" s="159"/>
      <c r="O82" s="186"/>
      <c r="P82" s="186"/>
      <c r="Q82" s="235"/>
      <c r="R82" s="173"/>
      <c r="S82" s="173"/>
      <c r="T82" s="173"/>
      <c r="U82" s="159"/>
      <c r="V82" s="186"/>
      <c r="W82" s="186"/>
      <c r="AB82" s="153"/>
      <c r="AC82" s="161"/>
      <c r="AD82" s="153"/>
      <c r="AE82" s="153"/>
      <c r="AF82" s="153"/>
      <c r="AG82" s="173"/>
      <c r="AH82" s="232"/>
      <c r="AI82" s="232"/>
      <c r="AJ82" s="232"/>
    </row>
    <row r="83" spans="3:36" ht="25.5" x14ac:dyDescent="0.2">
      <c r="D83" s="173"/>
      <c r="E83" s="173"/>
      <c r="F83" s="173"/>
      <c r="G83" s="157"/>
      <c r="H83" s="186"/>
      <c r="I83" s="186"/>
      <c r="J83" s="235"/>
      <c r="K83" s="173"/>
      <c r="L83" s="173"/>
      <c r="M83" s="173"/>
      <c r="N83" s="159"/>
      <c r="O83" s="186"/>
      <c r="P83" s="186"/>
      <c r="Q83" s="159"/>
      <c r="R83" s="159"/>
      <c r="S83" s="159"/>
      <c r="T83" s="159"/>
      <c r="U83" s="159"/>
      <c r="V83" s="186"/>
      <c r="W83" s="186"/>
      <c r="AB83" s="153"/>
      <c r="AC83" s="161"/>
      <c r="AD83" s="153"/>
      <c r="AE83" s="153"/>
      <c r="AF83" s="153"/>
      <c r="AG83" s="173"/>
      <c r="AH83" s="232"/>
      <c r="AI83" s="232"/>
      <c r="AJ83" s="232"/>
    </row>
    <row r="84" spans="3:36" x14ac:dyDescent="0.2">
      <c r="D84" s="173"/>
      <c r="E84" s="173"/>
      <c r="F84" s="173"/>
      <c r="G84" s="157"/>
      <c r="H84" s="186"/>
      <c r="I84" s="163"/>
      <c r="J84" s="174"/>
      <c r="K84" s="173"/>
      <c r="L84" s="173"/>
      <c r="M84" s="173"/>
      <c r="N84" s="159"/>
      <c r="O84" s="186"/>
      <c r="P84" s="186"/>
      <c r="Q84" s="159"/>
      <c r="R84" s="159"/>
      <c r="S84" s="159"/>
      <c r="T84" s="159"/>
      <c r="U84" s="159"/>
      <c r="V84" s="186"/>
      <c r="W84" s="186"/>
      <c r="AB84" s="153"/>
      <c r="AC84" s="161"/>
      <c r="AD84" s="153"/>
      <c r="AE84" s="153"/>
      <c r="AF84" s="153"/>
      <c r="AG84" s="173"/>
      <c r="AH84" s="232"/>
      <c r="AI84" s="232"/>
      <c r="AJ84" s="232"/>
    </row>
    <row r="85" spans="3:36" x14ac:dyDescent="0.2">
      <c r="G85" s="157"/>
      <c r="H85" s="177"/>
      <c r="I85" s="163"/>
      <c r="L85" s="175"/>
      <c r="M85" s="175"/>
      <c r="N85" s="159"/>
      <c r="O85" s="177"/>
      <c r="P85" s="163"/>
      <c r="S85" s="175"/>
      <c r="T85" s="175"/>
      <c r="U85" s="159"/>
      <c r="V85" s="177"/>
      <c r="W85" s="163"/>
      <c r="AB85" s="153"/>
      <c r="AC85" s="161"/>
      <c r="AD85" s="153"/>
      <c r="AE85" s="153"/>
      <c r="AF85" s="153"/>
      <c r="AG85" s="173"/>
      <c r="AH85" s="232"/>
      <c r="AI85" s="232"/>
      <c r="AJ85" s="232"/>
    </row>
    <row r="86" spans="3:36" x14ac:dyDescent="0.2">
      <c r="G86" s="157"/>
      <c r="H86" s="177"/>
      <c r="I86" s="163"/>
      <c r="L86" s="175"/>
      <c r="M86" s="175"/>
      <c r="N86" s="159"/>
      <c r="O86" s="177"/>
      <c r="P86" s="163"/>
      <c r="S86" s="175"/>
      <c r="T86" s="175"/>
      <c r="U86" s="159"/>
      <c r="V86" s="177"/>
      <c r="W86" s="163"/>
      <c r="AB86" s="153"/>
      <c r="AC86" s="161"/>
      <c r="AD86" s="153"/>
      <c r="AE86" s="153"/>
      <c r="AF86" s="153"/>
      <c r="AG86" s="173"/>
      <c r="AH86" s="232"/>
      <c r="AI86" s="232"/>
      <c r="AJ86" s="232"/>
    </row>
    <row r="87" spans="3:36" ht="15.75" thickBot="1" x14ac:dyDescent="0.25">
      <c r="N87" s="159"/>
      <c r="O87" s="163"/>
      <c r="P87" s="163"/>
      <c r="U87" s="159"/>
      <c r="V87" s="163"/>
      <c r="W87" s="163"/>
      <c r="AB87" s="153"/>
      <c r="AC87" s="161"/>
      <c r="AD87" s="153"/>
      <c r="AE87" s="153"/>
      <c r="AF87" s="153"/>
      <c r="AG87" s="173"/>
      <c r="AH87" s="232"/>
      <c r="AI87" s="232"/>
      <c r="AJ87" s="232"/>
    </row>
    <row r="88" spans="3:36" ht="35.1" customHeight="1" thickBot="1" x14ac:dyDescent="0.25">
      <c r="D88" s="261" t="s">
        <v>8</v>
      </c>
      <c r="E88" s="262" t="s">
        <v>9</v>
      </c>
      <c r="F88" s="263" t="s">
        <v>10</v>
      </c>
      <c r="K88" s="261" t="s">
        <v>8</v>
      </c>
      <c r="L88" s="262" t="s">
        <v>9</v>
      </c>
      <c r="M88" s="263" t="s">
        <v>10</v>
      </c>
      <c r="N88" s="159"/>
      <c r="O88" s="155"/>
      <c r="P88" s="155"/>
      <c r="R88" s="261" t="s">
        <v>8</v>
      </c>
      <c r="S88" s="262" t="s">
        <v>9</v>
      </c>
      <c r="T88" s="263" t="s">
        <v>10</v>
      </c>
      <c r="U88" s="159"/>
      <c r="V88" s="155"/>
      <c r="W88" s="155"/>
    </row>
    <row r="89" spans="3:36" x14ac:dyDescent="0.2">
      <c r="D89" s="295" t="e">
        <f t="shared" ref="D89:F93" si="43">+D72^2</f>
        <v>#DIV/0!</v>
      </c>
      <c r="E89" s="296" t="e">
        <f t="shared" si="43"/>
        <v>#DIV/0!</v>
      </c>
      <c r="F89" s="297" t="e">
        <f t="shared" si="43"/>
        <v>#DIV/0!</v>
      </c>
      <c r="J89" s="158"/>
      <c r="K89" s="295" t="e">
        <f t="shared" ref="K89:M93" si="44">+K72^2</f>
        <v>#DIV/0!</v>
      </c>
      <c r="L89" s="296" t="e">
        <f t="shared" si="44"/>
        <v>#DIV/0!</v>
      </c>
      <c r="M89" s="297" t="e">
        <f t="shared" si="44"/>
        <v>#DIV/0!</v>
      </c>
      <c r="N89" s="159"/>
      <c r="O89" s="186"/>
      <c r="P89" s="186"/>
      <c r="Q89" s="158"/>
      <c r="R89" s="295" t="e">
        <f t="shared" ref="R89:T93" si="45">+R72^2</f>
        <v>#DIV/0!</v>
      </c>
      <c r="S89" s="296" t="e">
        <f t="shared" si="45"/>
        <v>#DIV/0!</v>
      </c>
      <c r="T89" s="297" t="e">
        <f t="shared" si="45"/>
        <v>#DIV/0!</v>
      </c>
      <c r="U89" s="159"/>
      <c r="V89" s="186"/>
      <c r="W89" s="186"/>
    </row>
    <row r="90" spans="3:36" x14ac:dyDescent="0.2">
      <c r="D90" s="298" t="e">
        <f t="shared" si="43"/>
        <v>#DIV/0!</v>
      </c>
      <c r="E90" s="299" t="e">
        <f t="shared" si="43"/>
        <v>#DIV/0!</v>
      </c>
      <c r="F90" s="300" t="e">
        <f t="shared" si="43"/>
        <v>#DIV/0!</v>
      </c>
      <c r="J90" s="158"/>
      <c r="K90" s="298" t="e">
        <f t="shared" si="44"/>
        <v>#DIV/0!</v>
      </c>
      <c r="L90" s="299" t="e">
        <f t="shared" si="44"/>
        <v>#DIV/0!</v>
      </c>
      <c r="M90" s="300" t="e">
        <f t="shared" si="44"/>
        <v>#DIV/0!</v>
      </c>
      <c r="N90" s="159"/>
      <c r="O90" s="186"/>
      <c r="P90" s="186"/>
      <c r="Q90" s="158"/>
      <c r="R90" s="298" t="e">
        <f t="shared" si="45"/>
        <v>#DIV/0!</v>
      </c>
      <c r="S90" s="299" t="e">
        <f t="shared" si="45"/>
        <v>#DIV/0!</v>
      </c>
      <c r="T90" s="300" t="e">
        <f t="shared" si="45"/>
        <v>#DIV/0!</v>
      </c>
      <c r="U90" s="159"/>
      <c r="V90" s="186"/>
      <c r="W90" s="186"/>
    </row>
    <row r="91" spans="3:36" x14ac:dyDescent="0.2">
      <c r="D91" s="298" t="e">
        <f t="shared" si="43"/>
        <v>#DIV/0!</v>
      </c>
      <c r="E91" s="299" t="e">
        <f t="shared" si="43"/>
        <v>#DIV/0!</v>
      </c>
      <c r="F91" s="300" t="e">
        <f t="shared" si="43"/>
        <v>#DIV/0!</v>
      </c>
      <c r="J91" s="158"/>
      <c r="K91" s="298" t="e">
        <f t="shared" si="44"/>
        <v>#DIV/0!</v>
      </c>
      <c r="L91" s="299" t="e">
        <f t="shared" si="44"/>
        <v>#DIV/0!</v>
      </c>
      <c r="M91" s="300" t="e">
        <f t="shared" si="44"/>
        <v>#DIV/0!</v>
      </c>
      <c r="N91" s="159"/>
      <c r="O91" s="186"/>
      <c r="P91" s="186"/>
      <c r="Q91" s="158"/>
      <c r="R91" s="298" t="e">
        <f t="shared" si="45"/>
        <v>#DIV/0!</v>
      </c>
      <c r="S91" s="299" t="e">
        <f t="shared" si="45"/>
        <v>#DIV/0!</v>
      </c>
      <c r="T91" s="300" t="e">
        <f t="shared" si="45"/>
        <v>#DIV/0!</v>
      </c>
      <c r="U91" s="159"/>
      <c r="V91" s="186"/>
      <c r="W91" s="186"/>
    </row>
    <row r="92" spans="3:36" x14ac:dyDescent="0.2">
      <c r="D92" s="298" t="e">
        <f t="shared" si="43"/>
        <v>#DIV/0!</v>
      </c>
      <c r="E92" s="299" t="e">
        <f t="shared" si="43"/>
        <v>#DIV/0!</v>
      </c>
      <c r="F92" s="300" t="e">
        <f t="shared" si="43"/>
        <v>#DIV/0!</v>
      </c>
      <c r="J92" s="158"/>
      <c r="K92" s="298" t="e">
        <f t="shared" si="44"/>
        <v>#DIV/0!</v>
      </c>
      <c r="L92" s="299" t="e">
        <f t="shared" si="44"/>
        <v>#DIV/0!</v>
      </c>
      <c r="M92" s="300" t="e">
        <f t="shared" si="44"/>
        <v>#DIV/0!</v>
      </c>
      <c r="N92" s="159"/>
      <c r="O92" s="186"/>
      <c r="P92" s="186"/>
      <c r="Q92" s="158"/>
      <c r="R92" s="298" t="e">
        <f t="shared" si="45"/>
        <v>#DIV/0!</v>
      </c>
      <c r="S92" s="299" t="e">
        <f t="shared" si="45"/>
        <v>#DIV/0!</v>
      </c>
      <c r="T92" s="300" t="e">
        <f t="shared" si="45"/>
        <v>#DIV/0!</v>
      </c>
      <c r="U92" s="159"/>
      <c r="V92" s="186"/>
      <c r="W92" s="186"/>
    </row>
    <row r="93" spans="3:36" x14ac:dyDescent="0.2">
      <c r="D93" s="359" t="e">
        <f t="shared" si="43"/>
        <v>#DIV/0!</v>
      </c>
      <c r="E93" s="233" t="e">
        <f t="shared" si="43"/>
        <v>#DIV/0!</v>
      </c>
      <c r="F93" s="300" t="e">
        <f t="shared" si="43"/>
        <v>#DIV/0!</v>
      </c>
      <c r="G93" s="157"/>
      <c r="H93" s="186"/>
      <c r="I93" s="186"/>
      <c r="J93" s="158"/>
      <c r="K93" s="298" t="e">
        <f t="shared" si="44"/>
        <v>#DIV/0!</v>
      </c>
      <c r="L93" s="299" t="e">
        <f t="shared" si="44"/>
        <v>#DIV/0!</v>
      </c>
      <c r="M93" s="300" t="e">
        <f t="shared" si="44"/>
        <v>#DIV/0!</v>
      </c>
      <c r="N93" s="159"/>
      <c r="O93" s="186"/>
      <c r="P93" s="186"/>
      <c r="Q93" s="158"/>
      <c r="R93" s="298" t="e">
        <f t="shared" si="45"/>
        <v>#DIV/0!</v>
      </c>
      <c r="S93" s="299" t="e">
        <f t="shared" si="45"/>
        <v>#DIV/0!</v>
      </c>
      <c r="T93" s="300" t="e">
        <f t="shared" si="45"/>
        <v>#DIV/0!</v>
      </c>
      <c r="U93" s="159"/>
      <c r="V93" s="186"/>
      <c r="W93" s="186"/>
    </row>
    <row r="94" spans="3:36" x14ac:dyDescent="0.2">
      <c r="D94" s="298" t="e">
        <f t="shared" ref="D94:F94" si="46">+D77^2</f>
        <v>#DIV/0!</v>
      </c>
      <c r="E94" s="299" t="e">
        <f t="shared" si="46"/>
        <v>#DIV/0!</v>
      </c>
      <c r="F94" s="300" t="e">
        <f t="shared" si="46"/>
        <v>#DIV/0!</v>
      </c>
      <c r="G94" s="157"/>
      <c r="H94" s="158"/>
      <c r="I94" s="158"/>
      <c r="J94" s="158"/>
      <c r="K94" s="298" t="e">
        <f t="shared" ref="K94:M94" si="47">+K77^2</f>
        <v>#DIV/0!</v>
      </c>
      <c r="L94" s="299" t="e">
        <f t="shared" si="47"/>
        <v>#DIV/0!</v>
      </c>
      <c r="M94" s="300" t="e">
        <f t="shared" si="47"/>
        <v>#DIV/0!</v>
      </c>
      <c r="N94" s="159"/>
      <c r="O94" s="158"/>
      <c r="P94" s="158"/>
      <c r="Q94" s="158"/>
      <c r="R94" s="298" t="e">
        <f t="shared" ref="R94:T94" si="48">+R77^2</f>
        <v>#DIV/0!</v>
      </c>
      <c r="S94" s="299" t="e">
        <f t="shared" si="48"/>
        <v>#DIV/0!</v>
      </c>
      <c r="T94" s="300" t="e">
        <f t="shared" si="48"/>
        <v>#DIV/0!</v>
      </c>
      <c r="U94" s="159"/>
    </row>
    <row r="95" spans="3:36" x14ac:dyDescent="0.2">
      <c r="C95" s="154"/>
      <c r="D95" s="298" t="e">
        <f t="shared" ref="D95:F95" si="49">+D78^2</f>
        <v>#DIV/0!</v>
      </c>
      <c r="E95" s="299" t="e">
        <f t="shared" si="49"/>
        <v>#DIV/0!</v>
      </c>
      <c r="F95" s="300" t="e">
        <f t="shared" si="49"/>
        <v>#DIV/0!</v>
      </c>
      <c r="G95" s="157"/>
      <c r="H95" s="158"/>
      <c r="I95" s="158"/>
      <c r="J95" s="158"/>
      <c r="K95" s="298" t="e">
        <f t="shared" ref="K95:M95" si="50">+K78^2</f>
        <v>#DIV/0!</v>
      </c>
      <c r="L95" s="299" t="e">
        <f t="shared" si="50"/>
        <v>#DIV/0!</v>
      </c>
      <c r="M95" s="300" t="e">
        <f t="shared" si="50"/>
        <v>#DIV/0!</v>
      </c>
      <c r="N95" s="159"/>
      <c r="O95" s="158"/>
      <c r="P95" s="158"/>
      <c r="Q95" s="158"/>
      <c r="R95" s="298" t="e">
        <f t="shared" ref="R95:T95" si="51">+R78^2</f>
        <v>#DIV/0!</v>
      </c>
      <c r="S95" s="299" t="e">
        <f t="shared" si="51"/>
        <v>#DIV/0!</v>
      </c>
      <c r="T95" s="300" t="e">
        <f t="shared" si="51"/>
        <v>#DIV/0!</v>
      </c>
      <c r="U95" s="159"/>
    </row>
    <row r="96" spans="3:36" x14ac:dyDescent="0.2">
      <c r="C96" s="154"/>
      <c r="D96" s="298" t="e">
        <f t="shared" ref="D96:F96" si="52">+D79^2</f>
        <v>#DIV/0!</v>
      </c>
      <c r="E96" s="299" t="e">
        <f t="shared" si="52"/>
        <v>#DIV/0!</v>
      </c>
      <c r="F96" s="300" t="e">
        <f t="shared" si="52"/>
        <v>#DIV/0!</v>
      </c>
      <c r="G96" s="157"/>
      <c r="H96" s="158"/>
      <c r="I96" s="158"/>
      <c r="J96" s="158"/>
      <c r="K96" s="298" t="e">
        <f t="shared" ref="K96:M96" si="53">+K79^2</f>
        <v>#DIV/0!</v>
      </c>
      <c r="L96" s="299" t="e">
        <f t="shared" si="53"/>
        <v>#DIV/0!</v>
      </c>
      <c r="M96" s="300" t="e">
        <f t="shared" si="53"/>
        <v>#DIV/0!</v>
      </c>
      <c r="N96" s="159"/>
      <c r="O96" s="158"/>
      <c r="P96" s="158"/>
      <c r="Q96" s="158"/>
      <c r="R96" s="298" t="e">
        <f t="shared" ref="R96:T96" si="54">+R79^2</f>
        <v>#DIV/0!</v>
      </c>
      <c r="S96" s="299" t="e">
        <f t="shared" si="54"/>
        <v>#DIV/0!</v>
      </c>
      <c r="T96" s="300" t="e">
        <f t="shared" si="54"/>
        <v>#DIV/0!</v>
      </c>
      <c r="U96" s="159"/>
    </row>
    <row r="97" spans="2:22" ht="15.75" thickBot="1" x14ac:dyDescent="0.25">
      <c r="C97" s="154"/>
      <c r="D97" s="301" t="e">
        <f t="shared" ref="D97:F97" si="55">+D80^2</f>
        <v>#DIV/0!</v>
      </c>
      <c r="E97" s="302" t="e">
        <f t="shared" si="55"/>
        <v>#DIV/0!</v>
      </c>
      <c r="F97" s="303" t="e">
        <f t="shared" si="55"/>
        <v>#DIV/0!</v>
      </c>
      <c r="G97" s="157"/>
      <c r="H97" s="158"/>
      <c r="I97" s="158"/>
      <c r="J97" s="158"/>
      <c r="K97" s="301" t="e">
        <f t="shared" ref="K97:M97" si="56">+K80^2</f>
        <v>#DIV/0!</v>
      </c>
      <c r="L97" s="302" t="e">
        <f t="shared" si="56"/>
        <v>#DIV/0!</v>
      </c>
      <c r="M97" s="303" t="e">
        <f t="shared" si="56"/>
        <v>#DIV/0!</v>
      </c>
      <c r="N97" s="159"/>
      <c r="O97" s="158"/>
      <c r="P97" s="158"/>
      <c r="Q97" s="158"/>
      <c r="R97" s="301" t="e">
        <f t="shared" ref="R97:T97" si="57">+R80^2</f>
        <v>#DIV/0!</v>
      </c>
      <c r="S97" s="302" t="e">
        <f t="shared" si="57"/>
        <v>#DIV/0!</v>
      </c>
      <c r="T97" s="303" t="e">
        <f t="shared" si="57"/>
        <v>#DIV/0!</v>
      </c>
      <c r="U97" s="159"/>
    </row>
    <row r="98" spans="2:22" ht="15.75" thickBot="1" x14ac:dyDescent="0.25">
      <c r="C98" s="154"/>
      <c r="D98" s="237"/>
      <c r="E98" s="158"/>
      <c r="F98" s="158"/>
      <c r="G98" s="157"/>
      <c r="H98" s="158"/>
      <c r="I98" s="158"/>
      <c r="J98" s="158"/>
      <c r="K98" s="237"/>
      <c r="L98" s="158"/>
      <c r="M98" s="158"/>
      <c r="N98" s="159"/>
      <c r="O98" s="158"/>
      <c r="P98" s="158"/>
      <c r="Q98" s="158"/>
      <c r="R98" s="237"/>
      <c r="S98" s="158"/>
      <c r="T98" s="158"/>
      <c r="U98" s="159"/>
    </row>
    <row r="99" spans="2:22" ht="16.5" customHeight="1" thickBot="1" x14ac:dyDescent="0.25">
      <c r="D99" s="260" t="s">
        <v>21</v>
      </c>
      <c r="E99" s="209" t="e">
        <f>SUM(D89:F98)</f>
        <v>#DIV/0!</v>
      </c>
      <c r="F99" s="158"/>
      <c r="G99" s="157"/>
      <c r="H99" s="158"/>
      <c r="K99" s="692" t="s">
        <v>21</v>
      </c>
      <c r="L99" s="693"/>
      <c r="M99" s="209" t="e">
        <f>SUM(K89:M98)</f>
        <v>#DIV/0!</v>
      </c>
      <c r="N99" s="159"/>
      <c r="O99" s="158"/>
      <c r="R99" s="692" t="s">
        <v>21</v>
      </c>
      <c r="S99" s="693"/>
      <c r="T99" s="209" t="e">
        <f>SUM(R89:T98)</f>
        <v>#DIV/0!</v>
      </c>
    </row>
    <row r="100" spans="2:22" ht="15.75" thickBot="1" x14ac:dyDescent="0.25">
      <c r="C100" s="154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22" ht="15.75" thickBot="1" x14ac:dyDescent="0.25">
      <c r="C101" s="154"/>
      <c r="I101" s="158"/>
      <c r="J101" s="212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179"/>
    </row>
    <row r="102" spans="2:22" ht="35.1" customHeight="1" thickBot="1" x14ac:dyDescent="0.25">
      <c r="J102" s="530" t="s">
        <v>25</v>
      </c>
      <c r="K102" s="531"/>
      <c r="L102" s="531"/>
      <c r="M102" s="531"/>
      <c r="N102" s="531"/>
      <c r="O102" s="531"/>
      <c r="P102" s="531"/>
      <c r="Q102" s="531"/>
      <c r="R102" s="531"/>
      <c r="S102" s="531"/>
      <c r="T102" s="531"/>
      <c r="U102" s="531"/>
      <c r="V102" s="531"/>
    </row>
    <row r="103" spans="2:22" ht="15.75" thickBot="1" x14ac:dyDescent="0.25">
      <c r="J103" s="190"/>
      <c r="V103" s="180"/>
    </row>
    <row r="104" spans="2:22" x14ac:dyDescent="0.2">
      <c r="J104" s="190"/>
      <c r="K104" s="553" t="s">
        <v>29</v>
      </c>
      <c r="L104" s="554"/>
      <c r="M104" s="555"/>
      <c r="N104" s="559" t="s">
        <v>30</v>
      </c>
      <c r="O104" s="560"/>
      <c r="P104" s="560" t="s">
        <v>196</v>
      </c>
      <c r="Q104" s="560"/>
      <c r="R104" s="549" t="s">
        <v>31</v>
      </c>
      <c r="S104" s="549" t="s">
        <v>155</v>
      </c>
      <c r="T104" s="549" t="s">
        <v>32</v>
      </c>
      <c r="U104" s="551" t="s">
        <v>197</v>
      </c>
      <c r="V104" s="180"/>
    </row>
    <row r="105" spans="2:22" ht="15.75" thickBot="1" x14ac:dyDescent="0.25">
      <c r="J105" s="190"/>
      <c r="K105" s="556"/>
      <c r="L105" s="557"/>
      <c r="M105" s="558"/>
      <c r="N105" s="561"/>
      <c r="O105" s="562"/>
      <c r="P105" s="562"/>
      <c r="Q105" s="562"/>
      <c r="R105" s="550"/>
      <c r="S105" s="550"/>
      <c r="T105" s="550"/>
      <c r="U105" s="552"/>
      <c r="V105" s="180"/>
    </row>
    <row r="106" spans="2:22" ht="15.75" thickBot="1" x14ac:dyDescent="0.25">
      <c r="B106" s="587" t="s">
        <v>22</v>
      </c>
      <c r="C106" s="684"/>
      <c r="D106" s="690" t="s">
        <v>23</v>
      </c>
      <c r="E106" s="691"/>
      <c r="G106" s="553" t="s">
        <v>24</v>
      </c>
      <c r="H106" s="554"/>
      <c r="I106" s="555"/>
      <c r="J106" s="190"/>
      <c r="K106" s="542" t="s">
        <v>39</v>
      </c>
      <c r="L106" s="543"/>
      <c r="M106" s="544"/>
      <c r="N106" s="545" t="e">
        <f>+D108</f>
        <v>#DIV/0!</v>
      </c>
      <c r="O106" s="546"/>
      <c r="P106" s="547">
        <f>+H108</f>
        <v>2</v>
      </c>
      <c r="Q106" s="548"/>
      <c r="R106" s="361" t="e">
        <f>+N106/P106</f>
        <v>#DIV/0!</v>
      </c>
      <c r="S106" s="538" t="e">
        <f>+R106/R107</f>
        <v>#DIV/0!</v>
      </c>
      <c r="T106" s="540" t="e">
        <f>+SQRT(R107)</f>
        <v>#DIV/0!</v>
      </c>
      <c r="U106" s="538" t="e">
        <f>FDIST(S106,P106,P107)</f>
        <v>#DIV/0!</v>
      </c>
      <c r="V106" s="180"/>
    </row>
    <row r="107" spans="2:22" ht="20.25" customHeight="1" x14ac:dyDescent="0.2">
      <c r="B107" s="307" t="s">
        <v>26</v>
      </c>
      <c r="C107" s="308" t="s">
        <v>27</v>
      </c>
      <c r="D107" s="682" t="e">
        <f>+E99</f>
        <v>#DIV/0!</v>
      </c>
      <c r="E107" s="683"/>
      <c r="G107" s="305" t="s">
        <v>28</v>
      </c>
      <c r="H107" s="680">
        <f>+W24-1</f>
        <v>-1</v>
      </c>
      <c r="I107" s="681"/>
      <c r="J107" s="190"/>
      <c r="K107" s="565" t="s">
        <v>67</v>
      </c>
      <c r="L107" s="566"/>
      <c r="M107" s="567"/>
      <c r="N107" s="665" t="e">
        <f>+D109</f>
        <v>#DIV/0!</v>
      </c>
      <c r="O107" s="666"/>
      <c r="P107" s="667">
        <f>+H109</f>
        <v>-3</v>
      </c>
      <c r="Q107" s="668"/>
      <c r="R107" s="304" t="e">
        <f>+N107/P107</f>
        <v>#DIV/0!</v>
      </c>
      <c r="S107" s="538"/>
      <c r="T107" s="540"/>
      <c r="U107" s="538"/>
      <c r="V107" s="180"/>
    </row>
    <row r="108" spans="2:22" ht="19.5" customHeight="1" thickBot="1" x14ac:dyDescent="0.25">
      <c r="B108" s="309" t="s">
        <v>33</v>
      </c>
      <c r="C108" s="310" t="s">
        <v>34</v>
      </c>
      <c r="D108" s="676" t="e">
        <f>+M99</f>
        <v>#DIV/0!</v>
      </c>
      <c r="E108" s="677"/>
      <c r="G108" s="305" t="s">
        <v>35</v>
      </c>
      <c r="H108" s="680">
        <f>+W25-1</f>
        <v>2</v>
      </c>
      <c r="I108" s="681"/>
      <c r="J108" s="190"/>
      <c r="K108" s="669" t="s">
        <v>26</v>
      </c>
      <c r="L108" s="670"/>
      <c r="M108" s="671"/>
      <c r="N108" s="672" t="e">
        <f>+D107</f>
        <v>#DIV/0!</v>
      </c>
      <c r="O108" s="673"/>
      <c r="P108" s="674">
        <f>+H107</f>
        <v>-1</v>
      </c>
      <c r="Q108" s="675"/>
      <c r="R108" s="360"/>
      <c r="S108" s="539"/>
      <c r="T108" s="541"/>
      <c r="U108" s="539"/>
      <c r="V108" s="180"/>
    </row>
    <row r="109" spans="2:22" x14ac:dyDescent="0.2">
      <c r="B109" s="309" t="s">
        <v>36</v>
      </c>
      <c r="C109" s="310" t="s">
        <v>37</v>
      </c>
      <c r="D109" s="676" t="e">
        <f>+T99</f>
        <v>#DIV/0!</v>
      </c>
      <c r="E109" s="677"/>
      <c r="G109" s="305" t="s">
        <v>38</v>
      </c>
      <c r="H109" s="678">
        <f>+H107-H108</f>
        <v>-3</v>
      </c>
      <c r="I109" s="679"/>
      <c r="J109" s="190"/>
      <c r="K109" s="153"/>
      <c r="L109" s="153"/>
      <c r="M109" s="153"/>
      <c r="N109" s="153"/>
      <c r="O109" s="153"/>
      <c r="P109" s="153"/>
      <c r="Q109" s="153"/>
      <c r="R109" s="153"/>
      <c r="S109" s="214"/>
      <c r="T109" s="153"/>
      <c r="U109" s="153"/>
      <c r="V109" s="180"/>
    </row>
    <row r="110" spans="2:22" ht="15.75" thickBot="1" x14ac:dyDescent="0.25">
      <c r="B110" s="311"/>
      <c r="C110" s="312"/>
      <c r="D110" s="563" t="e">
        <f>+D107-D108-D109</f>
        <v>#DIV/0!</v>
      </c>
      <c r="E110" s="564"/>
      <c r="G110" s="306"/>
      <c r="H110" s="192"/>
      <c r="I110" s="216"/>
      <c r="J110" s="190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80"/>
    </row>
    <row r="111" spans="2:22" ht="35.1" customHeight="1" thickBot="1" x14ac:dyDescent="0.25">
      <c r="J111" s="530" t="s">
        <v>61</v>
      </c>
      <c r="K111" s="531"/>
      <c r="L111" s="531"/>
      <c r="M111" s="531"/>
      <c r="N111" s="531"/>
      <c r="O111" s="531"/>
      <c r="P111" s="531"/>
      <c r="Q111" s="531"/>
      <c r="R111" s="531"/>
      <c r="S111" s="531"/>
      <c r="T111" s="531"/>
      <c r="U111" s="531"/>
      <c r="V111" s="532"/>
    </row>
    <row r="112" spans="2:22" ht="16.5" thickBot="1" x14ac:dyDescent="0.3">
      <c r="J112" s="190"/>
      <c r="K112" s="153"/>
      <c r="L112" s="153"/>
      <c r="M112"/>
      <c r="N112"/>
      <c r="O112"/>
      <c r="P112"/>
      <c r="Q112"/>
      <c r="R112"/>
      <c r="S112"/>
      <c r="T112" s="153"/>
      <c r="U112" s="153"/>
      <c r="V112" s="180"/>
    </row>
    <row r="113" spans="3:22" x14ac:dyDescent="0.2">
      <c r="J113" s="226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179"/>
    </row>
    <row r="114" spans="3:22" ht="15.75" customHeight="1" x14ac:dyDescent="0.2">
      <c r="J114" s="190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80"/>
    </row>
    <row r="115" spans="3:22" ht="15.75" customHeight="1" x14ac:dyDescent="0.2">
      <c r="J115" s="190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80"/>
    </row>
    <row r="116" spans="3:22" ht="15.75" customHeight="1" x14ac:dyDescent="0.2">
      <c r="J116" s="190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80"/>
    </row>
    <row r="117" spans="3:22" ht="15.75" customHeight="1" x14ac:dyDescent="0.2">
      <c r="J117" s="190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80"/>
    </row>
    <row r="118" spans="3:22" ht="15.75" customHeight="1" x14ac:dyDescent="0.2">
      <c r="J118" s="190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80"/>
    </row>
    <row r="119" spans="3:22" ht="15.75" customHeight="1" x14ac:dyDescent="0.2">
      <c r="J119" s="190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80"/>
    </row>
    <row r="120" spans="3:22" ht="15.75" x14ac:dyDescent="0.25">
      <c r="D120" s="636"/>
      <c r="E120" s="636"/>
      <c r="F120" s="636"/>
      <c r="G120" s="636"/>
      <c r="J120" s="190"/>
      <c r="K120" s="153"/>
      <c r="L120" s="153"/>
      <c r="M120" s="10"/>
      <c r="N120" s="10"/>
      <c r="O120" s="10"/>
      <c r="P120" s="10"/>
      <c r="Q120" s="10"/>
      <c r="R120" s="10"/>
      <c r="S120" s="10"/>
      <c r="T120" s="153"/>
      <c r="U120" s="153"/>
      <c r="V120" s="180"/>
    </row>
    <row r="121" spans="3:22" x14ac:dyDescent="0.2">
      <c r="J121" s="190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80"/>
    </row>
    <row r="122" spans="3:22" x14ac:dyDescent="0.2">
      <c r="C122" s="181"/>
      <c r="J122" s="190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80"/>
    </row>
    <row r="123" spans="3:22" ht="23.25" customHeight="1" x14ac:dyDescent="0.2">
      <c r="C123" s="181"/>
      <c r="J123" s="190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80"/>
    </row>
    <row r="124" spans="3:22" ht="18" customHeight="1" x14ac:dyDescent="0.2">
      <c r="J124" s="190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80"/>
    </row>
    <row r="125" spans="3:22" ht="15.75" customHeight="1" x14ac:dyDescent="0.2">
      <c r="J125" s="190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80"/>
    </row>
    <row r="126" spans="3:22" ht="15.75" customHeight="1" x14ac:dyDescent="0.2">
      <c r="J126" s="190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80"/>
    </row>
    <row r="127" spans="3:22" ht="15.75" customHeight="1" x14ac:dyDescent="0.2">
      <c r="J127" s="190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80"/>
    </row>
    <row r="128" spans="3:22" x14ac:dyDescent="0.2">
      <c r="J128" s="190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80"/>
    </row>
    <row r="129" spans="1:249" ht="15.75" thickBot="1" x14ac:dyDescent="0.25">
      <c r="J129" s="215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216"/>
    </row>
    <row r="130" spans="1:249" s="210" customFormat="1" ht="35.1" customHeight="1" thickBot="1" x14ac:dyDescent="0.25">
      <c r="A130" s="151"/>
      <c r="B130" s="530" t="s">
        <v>40</v>
      </c>
      <c r="C130" s="531"/>
      <c r="D130" s="531"/>
      <c r="E130" s="531"/>
      <c r="F130" s="531"/>
      <c r="G130" s="531"/>
      <c r="H130" s="531"/>
      <c r="I130" s="531"/>
      <c r="J130" s="531"/>
      <c r="K130" s="531"/>
      <c r="L130" s="531"/>
      <c r="M130" s="531"/>
      <c r="N130" s="531"/>
      <c r="O130" s="531"/>
      <c r="P130" s="531"/>
      <c r="Q130" s="531"/>
      <c r="R130" s="531"/>
      <c r="S130" s="531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  <c r="AG130" s="531"/>
      <c r="AH130" s="531"/>
      <c r="AI130" s="531"/>
      <c r="AJ130" s="532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1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1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  <c r="HQ130" s="151"/>
      <c r="HR130" s="151"/>
      <c r="HS130" s="151"/>
      <c r="HT130" s="151"/>
      <c r="HU130" s="151"/>
      <c r="HV130" s="151"/>
      <c r="HW130" s="151"/>
      <c r="HX130" s="151"/>
      <c r="HY130" s="151"/>
      <c r="HZ130" s="151"/>
      <c r="IA130" s="151"/>
      <c r="IB130" s="151"/>
      <c r="IC130" s="151"/>
      <c r="ID130" s="151"/>
      <c r="IE130" s="151"/>
      <c r="IF130" s="151"/>
      <c r="IG130" s="151"/>
      <c r="IH130" s="151"/>
      <c r="II130" s="151"/>
      <c r="IJ130" s="151"/>
      <c r="IK130" s="151"/>
      <c r="IL130" s="151"/>
      <c r="IM130" s="151"/>
      <c r="IN130" s="151"/>
      <c r="IO130" s="151"/>
    </row>
    <row r="131" spans="1:249" s="153" customFormat="1" ht="35.1" customHeight="1" x14ac:dyDescent="0.2">
      <c r="A131" s="15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/>
      <c r="HU131" s="151"/>
      <c r="HV131" s="151"/>
      <c r="HW131" s="151"/>
      <c r="HX131" s="151"/>
      <c r="HY131" s="151"/>
      <c r="HZ131" s="151"/>
      <c r="IA131" s="151"/>
      <c r="IB131" s="151"/>
      <c r="IC131" s="151"/>
      <c r="ID131" s="151"/>
      <c r="IE131" s="151"/>
      <c r="IF131" s="151"/>
      <c r="IG131" s="151"/>
      <c r="IH131" s="151"/>
      <c r="II131" s="151"/>
      <c r="IJ131" s="151"/>
      <c r="IK131" s="151"/>
      <c r="IL131" s="151"/>
      <c r="IM131" s="151"/>
      <c r="IN131" s="151"/>
      <c r="IO131" s="151"/>
    </row>
    <row r="140" spans="1:249" ht="15" customHeight="1" x14ac:dyDescent="0.2"/>
    <row r="141" spans="1:249" ht="15.75" thickBot="1" x14ac:dyDescent="0.25"/>
    <row r="142" spans="1:249" ht="22.5" customHeight="1" thickBot="1" x14ac:dyDescent="0.25">
      <c r="O142" s="643" t="s">
        <v>60</v>
      </c>
      <c r="P142" s="644"/>
      <c r="Q142" s="645"/>
    </row>
    <row r="143" spans="1:249" ht="25.5" customHeight="1" thickBot="1" x14ac:dyDescent="0.25">
      <c r="M143" s="176"/>
      <c r="O143" s="264" t="s">
        <v>8</v>
      </c>
      <c r="P143" s="265" t="s">
        <v>9</v>
      </c>
      <c r="Q143" s="266" t="s">
        <v>10</v>
      </c>
    </row>
    <row r="144" spans="1:249" ht="27" customHeight="1" thickBot="1" x14ac:dyDescent="0.25">
      <c r="D144" s="261" t="s">
        <v>8</v>
      </c>
      <c r="E144" s="262" t="s">
        <v>9</v>
      </c>
      <c r="F144" s="263" t="s">
        <v>10</v>
      </c>
      <c r="H144" s="183"/>
      <c r="I144" s="183"/>
      <c r="M144" s="176"/>
      <c r="N144" s="176"/>
      <c r="O144" s="222" t="e">
        <f>+D147</f>
        <v>#DIV/0!</v>
      </c>
      <c r="P144" s="223" t="e">
        <f>+E147</f>
        <v>#DIV/0!</v>
      </c>
      <c r="Q144" s="364" t="e">
        <f>+F147</f>
        <v>#DIV/0!</v>
      </c>
    </row>
    <row r="145" spans="3:23" ht="20.100000000000001" customHeight="1" x14ac:dyDescent="0.2">
      <c r="C145" s="339" t="s">
        <v>41</v>
      </c>
      <c r="D145" s="230" t="e">
        <f>+D147+$D$153</f>
        <v>#DIV/0!</v>
      </c>
      <c r="E145" s="218" t="e">
        <f>+E147+$D$153</f>
        <v>#DIV/0!</v>
      </c>
      <c r="F145" s="219" t="e">
        <f>+F147+$D$153</f>
        <v>#DIV/0!</v>
      </c>
      <c r="H145" s="162"/>
      <c r="I145" s="162"/>
      <c r="J145" s="174"/>
      <c r="M145" s="267" t="s">
        <v>8</v>
      </c>
      <c r="N145" s="229" t="e">
        <f>+O144</f>
        <v>#DIV/0!</v>
      </c>
      <c r="O145" s="244" t="e">
        <f>+ABS(N145-O144)</f>
        <v>#DIV/0!</v>
      </c>
      <c r="P145" s="244" t="e">
        <f>+ABS(P144-$N$145)</f>
        <v>#DIV/0!</v>
      </c>
      <c r="Q145" s="365" t="e">
        <f>+ABS(Q144-$N$145)</f>
        <v>#DIV/0!</v>
      </c>
    </row>
    <row r="146" spans="3:23" ht="20.100000000000001" customHeight="1" x14ac:dyDescent="0.2">
      <c r="C146" s="242" t="s">
        <v>160</v>
      </c>
      <c r="D146" s="198" t="e">
        <f>+D147-$D$153</f>
        <v>#DIV/0!</v>
      </c>
      <c r="E146" s="178" t="e">
        <f>+E147-$D$153</f>
        <v>#DIV/0!</v>
      </c>
      <c r="F146" s="220" t="e">
        <f>+F147-$D$153</f>
        <v>#DIV/0!</v>
      </c>
      <c r="H146" s="162"/>
      <c r="I146" s="162"/>
      <c r="M146" s="268" t="s">
        <v>9</v>
      </c>
      <c r="N146" s="203" t="e">
        <f>+P144</f>
        <v>#DIV/0!</v>
      </c>
      <c r="O146" s="245"/>
      <c r="P146" s="245" t="e">
        <f>+ABS($N$146-P144)</f>
        <v>#DIV/0!</v>
      </c>
      <c r="Q146" s="366" t="e">
        <f>+ABS($N$146-Q144)</f>
        <v>#DIV/0!</v>
      </c>
    </row>
    <row r="147" spans="3:23" ht="20.100000000000001" customHeight="1" thickBot="1" x14ac:dyDescent="0.25">
      <c r="C147" s="242" t="s">
        <v>12</v>
      </c>
      <c r="D147" s="199" t="e">
        <f>+D50</f>
        <v>#DIV/0!</v>
      </c>
      <c r="E147" s="200" t="e">
        <f>+E50</f>
        <v>#DIV/0!</v>
      </c>
      <c r="F147" s="228" t="e">
        <f>+F50</f>
        <v>#DIV/0!</v>
      </c>
      <c r="G147" s="162"/>
      <c r="H147" s="162"/>
      <c r="I147" s="162"/>
      <c r="M147" s="269" t="s">
        <v>10</v>
      </c>
      <c r="N147" s="313" t="e">
        <f>+Q144</f>
        <v>#DIV/0!</v>
      </c>
      <c r="O147" s="246"/>
      <c r="P147" s="246"/>
      <c r="Q147" s="247" t="e">
        <f>+ABS($N$147-Q144)</f>
        <v>#DIV/0!</v>
      </c>
      <c r="T147" s="184"/>
    </row>
    <row r="148" spans="3:23" ht="20.100000000000001" customHeight="1" x14ac:dyDescent="0.2">
      <c r="C148" s="242" t="s">
        <v>17</v>
      </c>
      <c r="D148" s="637" t="e">
        <f>+D55</f>
        <v>#DIV/0!</v>
      </c>
      <c r="E148" s="638"/>
      <c r="F148" s="639"/>
      <c r="G148" s="185"/>
      <c r="H148" s="185"/>
      <c r="I148" s="185"/>
      <c r="T148" s="184"/>
      <c r="V148" s="174"/>
      <c r="W148" s="174"/>
    </row>
    <row r="149" spans="3:23" ht="20.100000000000001" customHeight="1" x14ac:dyDescent="0.2">
      <c r="C149" s="242" t="s">
        <v>42</v>
      </c>
      <c r="D149" s="640" t="e">
        <f>+R107</f>
        <v>#DIV/0!</v>
      </c>
      <c r="E149" s="641"/>
      <c r="F149" s="642"/>
      <c r="G149" s="185"/>
      <c r="H149" s="185"/>
      <c r="I149" s="185"/>
      <c r="T149" s="184"/>
      <c r="V149" s="187"/>
      <c r="W149" s="187"/>
    </row>
    <row r="150" spans="3:23" ht="20.100000000000001" customHeight="1" thickBot="1" x14ac:dyDescent="0.25">
      <c r="C150" s="242" t="s">
        <v>44</v>
      </c>
      <c r="D150" s="640" t="e">
        <f>+SQRT(D149)</f>
        <v>#DIV/0!</v>
      </c>
      <c r="E150" s="641"/>
      <c r="F150" s="642"/>
      <c r="G150" s="185"/>
      <c r="H150" s="185"/>
      <c r="I150" s="185"/>
      <c r="T150" s="188"/>
    </row>
    <row r="151" spans="3:23" ht="34.5" customHeight="1" thickBot="1" x14ac:dyDescent="0.25">
      <c r="C151" s="242" t="s">
        <v>45</v>
      </c>
      <c r="D151" s="659" t="e">
        <f>+SQRT(P107)</f>
        <v>#NUM!</v>
      </c>
      <c r="E151" s="660"/>
      <c r="F151" s="661"/>
      <c r="G151" s="185"/>
      <c r="H151" s="185"/>
      <c r="I151" s="185"/>
      <c r="M151" s="648" t="s">
        <v>43</v>
      </c>
      <c r="N151" s="649"/>
      <c r="O151" s="652" t="e">
        <f>+(D152*D150)*(SQRT((1/W25)+(1/W26)))</f>
        <v>#NUM!</v>
      </c>
      <c r="P151" s="653"/>
    </row>
    <row r="152" spans="3:23" ht="20.100000000000001" customHeight="1" thickBot="1" x14ac:dyDescent="0.25">
      <c r="C152" s="243" t="s">
        <v>46</v>
      </c>
      <c r="D152" s="239" t="e">
        <f>_xlfn.T.INV.2T(0.05,W24-1)</f>
        <v>#NUM!</v>
      </c>
      <c r="E152" s="240" t="str">
        <f>+CONCATENATE("t = ",W24-1," grados de libertad con α/2=0,025")</f>
        <v>t = -1 grados de libertad con α/2=0,025</v>
      </c>
      <c r="F152" s="210"/>
      <c r="G152" s="241"/>
      <c r="H152" s="646" t="s">
        <v>58</v>
      </c>
      <c r="I152" s="647"/>
      <c r="M152" s="650"/>
      <c r="N152" s="651"/>
      <c r="O152" s="654" t="s">
        <v>59</v>
      </c>
      <c r="P152" s="655"/>
    </row>
    <row r="153" spans="3:23" ht="30" customHeight="1" thickBot="1" x14ac:dyDescent="0.25">
      <c r="C153" s="340" t="s">
        <v>192</v>
      </c>
      <c r="D153" s="363" t="e">
        <f>+D150/D151*D152</f>
        <v>#DIV/0!</v>
      </c>
      <c r="E153" s="153"/>
      <c r="F153" s="153"/>
      <c r="G153" s="153"/>
      <c r="H153" s="153"/>
    </row>
    <row r="154" spans="3:23" ht="20.100000000000001" customHeight="1" thickBot="1" x14ac:dyDescent="0.25"/>
    <row r="155" spans="3:23" ht="20.100000000000001" customHeight="1" thickBot="1" x14ac:dyDescent="0.25">
      <c r="C155" s="238" t="s">
        <v>46</v>
      </c>
      <c r="D155" s="239">
        <v>1.96</v>
      </c>
      <c r="E155" s="656" t="s">
        <v>54</v>
      </c>
      <c r="F155" s="657"/>
      <c r="G155" s="658"/>
      <c r="H155" s="646" t="s">
        <v>53</v>
      </c>
      <c r="I155" s="647"/>
    </row>
    <row r="156" spans="3:23" ht="30.75" customHeight="1" thickBot="1" x14ac:dyDescent="0.25">
      <c r="C156" s="340" t="s">
        <v>192</v>
      </c>
      <c r="D156" s="363" t="e">
        <f>+D150/D151*D155</f>
        <v>#DIV/0!</v>
      </c>
      <c r="E156" s="153"/>
      <c r="F156" s="153"/>
      <c r="G156" s="153"/>
      <c r="H156" s="153"/>
    </row>
    <row r="157" spans="3:23" ht="19.5" customHeight="1" thickBot="1" x14ac:dyDescent="0.25">
      <c r="C157" s="189"/>
      <c r="D157" s="161"/>
      <c r="E157" s="153"/>
      <c r="F157" s="153"/>
      <c r="G157" s="153"/>
      <c r="H157" s="153"/>
    </row>
    <row r="158" spans="3:23" ht="29.25" customHeight="1" x14ac:dyDescent="0.2">
      <c r="C158" s="189"/>
      <c r="D158" s="161"/>
      <c r="E158" s="153"/>
      <c r="F158" s="153"/>
      <c r="G158" s="153"/>
      <c r="H158" s="153"/>
      <c r="M158" s="559" t="s">
        <v>57</v>
      </c>
      <c r="N158" s="560"/>
      <c r="O158" s="618" t="e">
        <f>+(D155*D150)*(SQRT((1/W25)+(1/W26)))</f>
        <v>#DIV/0!</v>
      </c>
      <c r="P158" s="619"/>
    </row>
    <row r="159" spans="3:23" ht="27" customHeight="1" thickBot="1" x14ac:dyDescent="0.25">
      <c r="C159" s="189"/>
      <c r="D159" s="161"/>
      <c r="E159" s="153"/>
      <c r="F159" s="153"/>
      <c r="G159" s="153"/>
      <c r="H159" s="153"/>
      <c r="M159" s="561" t="s">
        <v>56</v>
      </c>
      <c r="N159" s="562"/>
      <c r="O159" s="620" t="s">
        <v>55</v>
      </c>
      <c r="P159" s="621"/>
    </row>
    <row r="160" spans="3:23" ht="29.25" customHeight="1" thickBot="1" x14ac:dyDescent="0.25">
      <c r="C160" s="189"/>
      <c r="D160" s="161"/>
      <c r="E160" s="153"/>
      <c r="F160" s="153"/>
      <c r="G160" s="153"/>
      <c r="H160" s="153"/>
    </row>
    <row r="161" spans="2:36" ht="24.75" customHeight="1" x14ac:dyDescent="0.2">
      <c r="C161" s="189"/>
      <c r="D161" s="161"/>
      <c r="E161" s="153"/>
      <c r="F161" s="153"/>
      <c r="G161" s="153"/>
      <c r="H161" s="153"/>
      <c r="M161" s="622" t="s">
        <v>52</v>
      </c>
      <c r="N161" s="623"/>
      <c r="O161" s="623"/>
      <c r="P161" s="623"/>
      <c r="Q161" s="623"/>
      <c r="R161" s="624"/>
    </row>
    <row r="162" spans="2:36" ht="22.5" customHeight="1" thickBot="1" x14ac:dyDescent="0.25">
      <c r="C162" s="189"/>
      <c r="D162" s="161"/>
      <c r="E162" s="153"/>
      <c r="F162" s="153"/>
      <c r="G162" s="153"/>
      <c r="H162" s="153"/>
      <c r="M162" s="625"/>
      <c r="N162" s="626"/>
      <c r="O162" s="626"/>
      <c r="P162" s="626"/>
      <c r="Q162" s="626"/>
      <c r="R162" s="627"/>
    </row>
    <row r="163" spans="2:36" ht="15.75" thickBot="1" x14ac:dyDescent="0.25">
      <c r="E163" s="174"/>
    </row>
    <row r="164" spans="2:36" ht="35.1" customHeight="1" thickBot="1" x14ac:dyDescent="0.25">
      <c r="B164" s="530" t="s">
        <v>51</v>
      </c>
      <c r="C164" s="531"/>
      <c r="D164" s="531"/>
      <c r="E164" s="531"/>
      <c r="F164" s="531"/>
      <c r="G164" s="531"/>
      <c r="H164" s="531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/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2"/>
    </row>
    <row r="165" spans="2:36" ht="35.1" customHeight="1" thickBot="1" x14ac:dyDescent="0.25">
      <c r="B165" s="609" t="s">
        <v>189</v>
      </c>
      <c r="C165" s="610"/>
      <c r="D165" s="611"/>
      <c r="E165" s="211"/>
      <c r="F165" s="609" t="s">
        <v>190</v>
      </c>
      <c r="G165" s="610"/>
      <c r="H165" s="610"/>
      <c r="I165" s="611"/>
      <c r="J165" s="211"/>
      <c r="K165" s="211"/>
      <c r="L165" s="628" t="s">
        <v>191</v>
      </c>
      <c r="M165" s="629"/>
      <c r="N165" s="630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</row>
    <row r="166" spans="2:36" ht="28.5" customHeight="1" thickBot="1" x14ac:dyDescent="0.25">
      <c r="B166" s="258" t="str">
        <f t="shared" ref="B166:D166" si="58">+D58</f>
        <v>M1</v>
      </c>
      <c r="C166" s="258" t="str">
        <f t="shared" si="58"/>
        <v>M2</v>
      </c>
      <c r="D166" s="258" t="str">
        <f t="shared" si="58"/>
        <v>M3</v>
      </c>
      <c r="E166" s="153"/>
      <c r="F166" s="631" t="s">
        <v>49</v>
      </c>
      <c r="G166" s="632"/>
      <c r="H166" s="631" t="s">
        <v>1</v>
      </c>
      <c r="I166" s="632"/>
      <c r="L166" s="447" t="str">
        <f t="shared" ref="L166:N166" si="59">+B166</f>
        <v>M1</v>
      </c>
      <c r="M166" s="448" t="str">
        <f t="shared" si="59"/>
        <v>M2</v>
      </c>
      <c r="N166" s="449" t="str">
        <f t="shared" si="59"/>
        <v>M3</v>
      </c>
      <c r="O166" s="211"/>
      <c r="P166" s="153"/>
      <c r="Q166" s="153"/>
      <c r="S166" s="606" t="s">
        <v>167</v>
      </c>
      <c r="T166" s="607"/>
      <c r="U166" s="607"/>
      <c r="V166" s="607"/>
      <c r="W166" s="607"/>
      <c r="X166" s="607"/>
      <c r="Y166" s="607"/>
      <c r="Z166" s="607"/>
      <c r="AA166" s="607"/>
      <c r="AB166" s="607"/>
      <c r="AC166" s="608"/>
    </row>
    <row r="167" spans="2:36" ht="20.100000000000001" customHeight="1" thickBot="1" x14ac:dyDescent="0.25">
      <c r="B167" s="250">
        <f>+D34</f>
        <v>0</v>
      </c>
      <c r="C167" s="248">
        <f>+E34</f>
        <v>0</v>
      </c>
      <c r="D167" s="251">
        <f>+F34</f>
        <v>0</v>
      </c>
      <c r="F167" s="250">
        <f t="shared" ref="F167:F181" si="60">+SMALL($B$167:$D$175,G167)</f>
        <v>0</v>
      </c>
      <c r="G167" s="368">
        <v>1</v>
      </c>
      <c r="H167" s="369"/>
      <c r="I167" s="255"/>
      <c r="L167" s="443"/>
      <c r="M167" s="369"/>
      <c r="N167" s="444"/>
      <c r="O167" s="211"/>
      <c r="P167" s="211"/>
      <c r="Q167" s="211"/>
      <c r="S167" s="226"/>
      <c r="T167" s="362"/>
      <c r="U167" s="362"/>
      <c r="V167" s="362"/>
      <c r="W167" s="362"/>
      <c r="X167" s="362"/>
      <c r="Y167" s="362"/>
      <c r="Z167" s="362"/>
      <c r="AA167" s="362"/>
      <c r="AB167" s="362"/>
      <c r="AC167" s="179"/>
    </row>
    <row r="168" spans="2:36" ht="20.100000000000001" customHeight="1" thickBot="1" x14ac:dyDescent="0.25">
      <c r="B168" s="252">
        <f t="shared" ref="B168:B175" si="61">+D35</f>
        <v>0</v>
      </c>
      <c r="C168" s="156">
        <f t="shared" ref="C168:C175" si="62">+E35</f>
        <v>0</v>
      </c>
      <c r="D168" s="253">
        <f t="shared" ref="D168:D175" si="63">+F35</f>
        <v>0</v>
      </c>
      <c r="F168" s="435">
        <f t="shared" si="60"/>
        <v>0</v>
      </c>
      <c r="G168" s="370">
        <v>2</v>
      </c>
      <c r="H168" s="371"/>
      <c r="I168" s="256"/>
      <c r="L168" s="445"/>
      <c r="M168" s="371"/>
      <c r="N168" s="446"/>
      <c r="O168" s="211"/>
      <c r="P168" s="211"/>
      <c r="Q168" s="211"/>
      <c r="S168" s="412">
        <f>12/(Q187*(Q187+1))</f>
        <v>1.5873015873015872E-2</v>
      </c>
      <c r="T168" s="414">
        <f>POWER(L194,2)/$Q$186</f>
        <v>0</v>
      </c>
      <c r="U168" s="414">
        <f>POWER(M194,2)/$Q$186</f>
        <v>0</v>
      </c>
      <c r="V168" s="167">
        <f>POWER(N194,2)/$Q$186</f>
        <v>0</v>
      </c>
      <c r="W168" s="341">
        <f>POWER(N195,2)/$Q$186</f>
        <v>0</v>
      </c>
      <c r="X168" s="342">
        <f>POWER(O195,2)/$Q$186</f>
        <v>0</v>
      </c>
      <c r="Y168" s="342">
        <f>POWER(P195,2)/$Q$186</f>
        <v>0</v>
      </c>
      <c r="Z168" s="417">
        <f>3*(Q187+1)</f>
        <v>84</v>
      </c>
      <c r="AA168" s="343"/>
      <c r="AB168" s="343"/>
      <c r="AC168" s="415">
        <f>S168*(T168+U168+V168+W168+X168+Y168)-Z168</f>
        <v>-84</v>
      </c>
    </row>
    <row r="169" spans="2:36" ht="20.100000000000001" customHeight="1" thickBot="1" x14ac:dyDescent="0.25">
      <c r="B169" s="252">
        <f t="shared" si="61"/>
        <v>0</v>
      </c>
      <c r="C169" s="156">
        <f t="shared" si="62"/>
        <v>0</v>
      </c>
      <c r="D169" s="253">
        <f t="shared" si="63"/>
        <v>0</v>
      </c>
      <c r="F169" s="435">
        <f t="shared" si="60"/>
        <v>0</v>
      </c>
      <c r="G169" s="370">
        <v>3</v>
      </c>
      <c r="H169" s="371"/>
      <c r="I169" s="256"/>
      <c r="L169" s="435"/>
      <c r="M169" s="371"/>
      <c r="N169" s="446"/>
      <c r="O169" s="211"/>
      <c r="P169" s="211"/>
      <c r="Q169" s="211"/>
      <c r="S169" s="413">
        <v>1</v>
      </c>
      <c r="T169" s="413">
        <f>POWER(I167,3)-I167</f>
        <v>0</v>
      </c>
      <c r="U169" s="413">
        <f>POWER(I168,3)-I168</f>
        <v>0</v>
      </c>
      <c r="V169" s="411">
        <f>POWER(I169,3)-I169</f>
        <v>0</v>
      </c>
      <c r="W169" s="344">
        <f>POWER(I170,3)-I170</f>
        <v>0</v>
      </c>
      <c r="X169" s="345">
        <f>POWER(I171,3)-I170</f>
        <v>0</v>
      </c>
      <c r="Y169" s="345">
        <f>POWER(I172,3)-I172</f>
        <v>0</v>
      </c>
      <c r="Z169" s="413">
        <f>POWER($I$173,3)-$I$173</f>
        <v>0</v>
      </c>
      <c r="AA169" s="348">
        <f>POWER($I$174,3)-$I$174</f>
        <v>0</v>
      </c>
      <c r="AB169" s="416">
        <f>POWER(I175,3)-I175</f>
        <v>0</v>
      </c>
      <c r="AC169" s="418">
        <f>S169-((T169+U169+V169+W169+X169+Y169)/U170)</f>
        <v>1</v>
      </c>
    </row>
    <row r="170" spans="2:36" ht="20.100000000000001" customHeight="1" thickBot="1" x14ac:dyDescent="0.25">
      <c r="B170" s="252">
        <f t="shared" si="61"/>
        <v>0</v>
      </c>
      <c r="C170" s="156">
        <f t="shared" si="62"/>
        <v>0</v>
      </c>
      <c r="D170" s="253">
        <f t="shared" si="63"/>
        <v>0</v>
      </c>
      <c r="F170" s="435">
        <f t="shared" si="60"/>
        <v>0</v>
      </c>
      <c r="G170" s="370">
        <v>4</v>
      </c>
      <c r="H170" s="371"/>
      <c r="I170" s="256"/>
      <c r="L170" s="435"/>
      <c r="M170" s="371"/>
      <c r="N170" s="446"/>
      <c r="O170" s="211"/>
      <c r="P170" s="211"/>
      <c r="Q170" s="211"/>
      <c r="S170" s="344"/>
      <c r="T170" s="345"/>
      <c r="U170" s="345">
        <f>POWER(Q187,3)-Q187</f>
        <v>19656</v>
      </c>
      <c r="V170" s="411"/>
      <c r="W170" s="343"/>
      <c r="X170" s="343"/>
      <c r="Y170" s="343"/>
      <c r="Z170" s="343"/>
      <c r="AA170" s="343"/>
      <c r="AB170" s="343"/>
      <c r="AC170" s="375"/>
    </row>
    <row r="171" spans="2:36" ht="20.100000000000001" customHeight="1" thickBot="1" x14ac:dyDescent="0.25">
      <c r="B171" s="252">
        <f t="shared" si="61"/>
        <v>0</v>
      </c>
      <c r="C171" s="156">
        <f t="shared" si="62"/>
        <v>0</v>
      </c>
      <c r="D171" s="253">
        <f t="shared" si="63"/>
        <v>0</v>
      </c>
      <c r="F171" s="435">
        <f t="shared" si="60"/>
        <v>0</v>
      </c>
      <c r="G171" s="370">
        <v>5</v>
      </c>
      <c r="H171" s="371"/>
      <c r="I171" s="256"/>
      <c r="L171" s="435"/>
      <c r="M171" s="371"/>
      <c r="N171" s="446"/>
      <c r="O171" s="211"/>
      <c r="P171" s="211"/>
      <c r="Q171" s="211"/>
      <c r="S171" s="215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216"/>
    </row>
    <row r="172" spans="2:36" ht="20.100000000000001" customHeight="1" x14ac:dyDescent="0.2">
      <c r="B172" s="252">
        <f t="shared" si="61"/>
        <v>0</v>
      </c>
      <c r="C172" s="156">
        <f t="shared" si="62"/>
        <v>0</v>
      </c>
      <c r="D172" s="253">
        <f t="shared" si="63"/>
        <v>0</v>
      </c>
      <c r="E172" s="191"/>
      <c r="F172" s="435">
        <f t="shared" si="60"/>
        <v>0</v>
      </c>
      <c r="G172" s="370">
        <v>6</v>
      </c>
      <c r="H172" s="371"/>
      <c r="I172" s="256"/>
      <c r="L172" s="435"/>
      <c r="M172" s="371"/>
      <c r="N172" s="446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</row>
    <row r="173" spans="2:36" ht="20.100000000000001" customHeight="1" x14ac:dyDescent="0.2">
      <c r="B173" s="252">
        <f t="shared" si="61"/>
        <v>0</v>
      </c>
      <c r="C173" s="156">
        <f t="shared" si="62"/>
        <v>0</v>
      </c>
      <c r="D173" s="253">
        <f t="shared" si="63"/>
        <v>0</v>
      </c>
      <c r="E173" s="191"/>
      <c r="F173" s="435">
        <f t="shared" si="60"/>
        <v>0</v>
      </c>
      <c r="G173" s="370">
        <v>7</v>
      </c>
      <c r="H173" s="371"/>
      <c r="I173" s="256"/>
      <c r="L173" s="435"/>
      <c r="M173" s="371"/>
      <c r="N173" s="446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</row>
    <row r="174" spans="2:36" ht="20.100000000000001" customHeight="1" x14ac:dyDescent="0.2">
      <c r="B174" s="252">
        <f t="shared" si="61"/>
        <v>0</v>
      </c>
      <c r="C174" s="156">
        <f t="shared" si="62"/>
        <v>0</v>
      </c>
      <c r="D174" s="253">
        <f t="shared" si="63"/>
        <v>0</v>
      </c>
      <c r="F174" s="435">
        <f t="shared" si="60"/>
        <v>0</v>
      </c>
      <c r="G174" s="370">
        <v>8</v>
      </c>
      <c r="H174" s="371"/>
      <c r="I174" s="256"/>
      <c r="L174" s="435"/>
      <c r="M174" s="371"/>
      <c r="N174" s="446"/>
    </row>
    <row r="175" spans="2:36" ht="20.100000000000001" customHeight="1" x14ac:dyDescent="0.2">
      <c r="B175" s="252">
        <f t="shared" si="61"/>
        <v>0</v>
      </c>
      <c r="C175" s="156">
        <f t="shared" si="62"/>
        <v>0</v>
      </c>
      <c r="D175" s="253">
        <f t="shared" si="63"/>
        <v>0</v>
      </c>
      <c r="F175" s="435">
        <f t="shared" si="60"/>
        <v>0</v>
      </c>
      <c r="G175" s="370">
        <v>9</v>
      </c>
      <c r="H175" s="371"/>
      <c r="I175" s="256"/>
      <c r="L175" s="445"/>
      <c r="M175" s="371"/>
      <c r="N175" s="446"/>
    </row>
    <row r="176" spans="2:36" ht="20.100000000000001" customHeight="1" thickBot="1" x14ac:dyDescent="0.25">
      <c r="B176" s="254"/>
      <c r="C176" s="249"/>
      <c r="D176" s="367"/>
      <c r="F176" s="435">
        <f t="shared" si="60"/>
        <v>0</v>
      </c>
      <c r="G176" s="370">
        <v>10</v>
      </c>
      <c r="H176" s="371"/>
      <c r="I176" s="256"/>
      <c r="L176" s="372"/>
      <c r="M176" s="373"/>
      <c r="N176" s="374"/>
    </row>
    <row r="177" spans="2:29" ht="20.100000000000001" customHeight="1" x14ac:dyDescent="0.2">
      <c r="B177" s="193"/>
      <c r="F177" s="435">
        <f t="shared" si="60"/>
        <v>0</v>
      </c>
      <c r="G177" s="370">
        <v>11</v>
      </c>
      <c r="H177" s="371"/>
      <c r="I177" s="256"/>
      <c r="L177" s="252"/>
      <c r="M177" s="156"/>
      <c r="N177" s="253"/>
    </row>
    <row r="178" spans="2:29" ht="20.100000000000001" customHeight="1" thickBot="1" x14ac:dyDescent="0.25">
      <c r="B178" s="193"/>
      <c r="F178" s="435">
        <f t="shared" si="60"/>
        <v>0</v>
      </c>
      <c r="G178" s="370">
        <v>12</v>
      </c>
      <c r="H178" s="371"/>
      <c r="I178" s="256"/>
      <c r="L178" s="252"/>
      <c r="M178" s="156"/>
      <c r="N178" s="253"/>
    </row>
    <row r="179" spans="2:29" ht="20.100000000000001" customHeight="1" thickBot="1" x14ac:dyDescent="0.25">
      <c r="B179" s="194"/>
      <c r="C179" s="194"/>
      <c r="D179" s="194"/>
      <c r="F179" s="435">
        <f t="shared" si="60"/>
        <v>0</v>
      </c>
      <c r="G179" s="370">
        <v>13</v>
      </c>
      <c r="H179" s="371"/>
      <c r="I179" s="256"/>
      <c r="L179" s="252"/>
      <c r="M179" s="156"/>
      <c r="N179" s="253"/>
      <c r="S179" s="378" t="s">
        <v>68</v>
      </c>
      <c r="T179" s="587" t="s">
        <v>69</v>
      </c>
      <c r="U179" s="588"/>
      <c r="V179" s="588"/>
      <c r="W179" s="589"/>
    </row>
    <row r="180" spans="2:29" ht="20.100000000000001" customHeight="1" thickBot="1" x14ac:dyDescent="0.25">
      <c r="F180" s="435">
        <f t="shared" si="60"/>
        <v>0</v>
      </c>
      <c r="G180" s="370">
        <v>14</v>
      </c>
      <c r="H180" s="371"/>
      <c r="I180" s="256"/>
      <c r="L180" s="252"/>
      <c r="M180" s="156"/>
      <c r="N180" s="253"/>
      <c r="S180" s="383" t="s">
        <v>70</v>
      </c>
      <c r="T180" s="662" t="s">
        <v>71</v>
      </c>
      <c r="U180" s="663"/>
      <c r="V180" s="663"/>
      <c r="W180" s="664"/>
    </row>
    <row r="181" spans="2:29" ht="20.100000000000001" customHeight="1" x14ac:dyDescent="0.2">
      <c r="F181" s="435">
        <f t="shared" si="60"/>
        <v>0</v>
      </c>
      <c r="G181" s="370">
        <v>15</v>
      </c>
      <c r="H181" s="371"/>
      <c r="I181" s="256"/>
      <c r="L181" s="252"/>
      <c r="M181" s="156"/>
      <c r="N181" s="253"/>
      <c r="S181" s="407" t="s">
        <v>72</v>
      </c>
      <c r="T181" s="407" t="s">
        <v>73</v>
      </c>
    </row>
    <row r="182" spans="2:29" ht="20.100000000000001" customHeight="1" thickBot="1" x14ac:dyDescent="0.25">
      <c r="F182" s="435">
        <f t="shared" ref="F182:F193" si="64">+SMALL($B$167:$D$175,G182)</f>
        <v>0</v>
      </c>
      <c r="G182" s="370">
        <v>16</v>
      </c>
      <c r="H182" s="371"/>
      <c r="I182" s="440"/>
      <c r="L182" s="252"/>
      <c r="M182" s="156"/>
      <c r="N182" s="253"/>
      <c r="S182" s="408" t="s">
        <v>72</v>
      </c>
      <c r="T182" s="408" t="s">
        <v>74</v>
      </c>
    </row>
    <row r="183" spans="2:29" ht="20.100000000000001" customHeight="1" thickBot="1" x14ac:dyDescent="0.25">
      <c r="F183" s="435">
        <f t="shared" si="64"/>
        <v>0</v>
      </c>
      <c r="G183" s="370">
        <v>17</v>
      </c>
      <c r="H183" s="439"/>
      <c r="I183" s="442">
        <f>SUM(I167:I178)</f>
        <v>0</v>
      </c>
      <c r="L183" s="252"/>
      <c r="M183" s="156"/>
      <c r="N183" s="253"/>
      <c r="S183" s="410" t="s">
        <v>72</v>
      </c>
      <c r="T183" s="409">
        <f>+Q188-1</f>
        <v>2</v>
      </c>
    </row>
    <row r="184" spans="2:29" ht="20.100000000000001" customHeight="1" thickBot="1" x14ac:dyDescent="0.25">
      <c r="F184" s="435">
        <f t="shared" si="64"/>
        <v>0</v>
      </c>
      <c r="G184" s="370">
        <v>18</v>
      </c>
      <c r="H184" s="371"/>
      <c r="I184" s="441"/>
      <c r="L184" s="252"/>
      <c r="M184" s="156"/>
      <c r="N184" s="253"/>
      <c r="S184" s="633" t="s">
        <v>2</v>
      </c>
      <c r="T184" s="634"/>
      <c r="U184" s="635"/>
    </row>
    <row r="185" spans="2:29" ht="20.100000000000001" customHeight="1" thickBot="1" x14ac:dyDescent="0.25">
      <c r="F185" s="435">
        <f t="shared" si="64"/>
        <v>0</v>
      </c>
      <c r="G185" s="370">
        <v>19</v>
      </c>
      <c r="H185" s="371"/>
      <c r="I185" s="256"/>
      <c r="L185" s="252"/>
      <c r="M185" s="156"/>
      <c r="N185" s="253"/>
      <c r="S185" s="599" t="s">
        <v>161</v>
      </c>
      <c r="T185" s="617"/>
      <c r="U185" s="385">
        <f>_xlfn.CHISQ.INV(0.95,T183)</f>
        <v>5.9914645471079799</v>
      </c>
      <c r="Y185" s="387"/>
      <c r="Z185" s="387"/>
      <c r="AA185" s="387"/>
    </row>
    <row r="186" spans="2:29" ht="20.100000000000001" customHeight="1" thickBot="1" x14ac:dyDescent="0.25">
      <c r="F186" s="435">
        <f t="shared" si="64"/>
        <v>0</v>
      </c>
      <c r="G186" s="370">
        <v>20</v>
      </c>
      <c r="H186" s="371"/>
      <c r="I186" s="256"/>
      <c r="L186" s="252"/>
      <c r="M186" s="156"/>
      <c r="N186" s="253"/>
      <c r="P186" s="381" t="s">
        <v>50</v>
      </c>
      <c r="Q186" s="382">
        <f>COUNT(B167:B175)</f>
        <v>9</v>
      </c>
      <c r="S186" s="604" t="s">
        <v>162</v>
      </c>
      <c r="T186" s="605"/>
      <c r="U186" s="386">
        <f>IFERROR(AC168/AC169,0)</f>
        <v>-84</v>
      </c>
      <c r="V186" s="612" t="str">
        <f>IF(U186&lt;=U185,"Menor que Chi CD","Mayor que Chi CD")</f>
        <v>Menor que Chi CD</v>
      </c>
      <c r="W186" s="613"/>
      <c r="X186" s="613"/>
      <c r="Y186" s="613"/>
      <c r="Z186" s="613"/>
      <c r="AA186" s="614"/>
      <c r="AC186" s="151" t="e">
        <f>CHIDIST(U186,Q188-1)</f>
        <v>#NUM!</v>
      </c>
    </row>
    <row r="187" spans="2:29" ht="20.100000000000001" customHeight="1" thickBot="1" x14ac:dyDescent="0.25">
      <c r="F187" s="435">
        <f t="shared" si="64"/>
        <v>0</v>
      </c>
      <c r="G187" s="370">
        <v>21</v>
      </c>
      <c r="H187" s="371"/>
      <c r="I187" s="256"/>
      <c r="L187" s="252"/>
      <c r="M187" s="156"/>
      <c r="N187" s="253"/>
      <c r="P187" s="379" t="s">
        <v>47</v>
      </c>
      <c r="Q187" s="376">
        <f>COUNT(B167:D175)</f>
        <v>27</v>
      </c>
      <c r="S187" s="378" t="s">
        <v>4</v>
      </c>
      <c r="T187" s="587" t="s">
        <v>5</v>
      </c>
      <c r="U187" s="588"/>
      <c r="V187" s="588"/>
      <c r="W187" s="589"/>
    </row>
    <row r="188" spans="2:29" ht="20.100000000000001" customHeight="1" thickBot="1" x14ac:dyDescent="0.25">
      <c r="F188" s="435">
        <f t="shared" si="64"/>
        <v>0</v>
      </c>
      <c r="G188" s="370">
        <v>22</v>
      </c>
      <c r="H188" s="371"/>
      <c r="I188" s="256"/>
      <c r="L188" s="252"/>
      <c r="M188" s="156"/>
      <c r="N188" s="253"/>
      <c r="P188" s="380" t="s">
        <v>48</v>
      </c>
      <c r="Q188" s="377">
        <f>COUNT(B167:D167)</f>
        <v>3</v>
      </c>
      <c r="S188" s="380" t="s">
        <v>6</v>
      </c>
      <c r="T188" s="587" t="s">
        <v>7</v>
      </c>
      <c r="U188" s="588"/>
      <c r="V188" s="588"/>
      <c r="W188" s="589"/>
    </row>
    <row r="189" spans="2:29" ht="20.100000000000001" customHeight="1" thickBot="1" x14ac:dyDescent="0.25">
      <c r="F189" s="435">
        <f t="shared" si="64"/>
        <v>0</v>
      </c>
      <c r="G189" s="370">
        <v>23</v>
      </c>
      <c r="H189" s="371"/>
      <c r="I189" s="256"/>
      <c r="L189" s="252"/>
      <c r="M189" s="156"/>
      <c r="N189" s="253"/>
    </row>
    <row r="190" spans="2:29" ht="20.100000000000001" customHeight="1" thickBot="1" x14ac:dyDescent="0.25">
      <c r="F190" s="435">
        <f t="shared" si="64"/>
        <v>0</v>
      </c>
      <c r="G190" s="370">
        <v>24</v>
      </c>
      <c r="H190" s="371"/>
      <c r="I190" s="256"/>
      <c r="L190" s="252"/>
      <c r="M190" s="156"/>
      <c r="N190" s="253"/>
      <c r="S190" s="593" t="str">
        <f>IF(U186&lt;=U185,"La Hipotesis nula NO se rechaza","Se rechaza la hipotesis nula")</f>
        <v>La Hipotesis nula NO se rechaza</v>
      </c>
      <c r="T190" s="594"/>
      <c r="U190" s="594"/>
      <c r="V190" s="594"/>
      <c r="W190" s="594"/>
      <c r="X190" s="594"/>
      <c r="Y190" s="594"/>
      <c r="Z190" s="594"/>
      <c r="AA190" s="594"/>
      <c r="AB190" s="594"/>
      <c r="AC190" s="595"/>
    </row>
    <row r="191" spans="2:29" ht="20.100000000000001" customHeight="1" x14ac:dyDescent="0.2">
      <c r="F191" s="435">
        <f t="shared" si="64"/>
        <v>0</v>
      </c>
      <c r="G191" s="370">
        <v>25</v>
      </c>
      <c r="H191" s="371"/>
      <c r="I191" s="256"/>
      <c r="L191" s="252"/>
      <c r="M191" s="156"/>
      <c r="N191" s="253"/>
      <c r="S191" s="573" t="s">
        <v>193</v>
      </c>
      <c r="T191" s="574"/>
      <c r="U191" s="574"/>
      <c r="V191" s="574"/>
      <c r="W191" s="574"/>
      <c r="X191" s="574"/>
      <c r="Y191" s="574"/>
      <c r="Z191" s="574"/>
      <c r="AA191" s="574"/>
      <c r="AB191" s="574"/>
      <c r="AC191" s="575"/>
    </row>
    <row r="192" spans="2:29" ht="20.100000000000001" customHeight="1" x14ac:dyDescent="0.2">
      <c r="F192" s="435">
        <f t="shared" si="64"/>
        <v>0</v>
      </c>
      <c r="G192" s="370">
        <v>26</v>
      </c>
      <c r="H192" s="371"/>
      <c r="I192" s="256"/>
      <c r="L192" s="252"/>
      <c r="M192" s="156"/>
      <c r="N192" s="253"/>
      <c r="S192" s="576"/>
      <c r="T192" s="577"/>
      <c r="U192" s="577"/>
      <c r="V192" s="577"/>
      <c r="W192" s="577"/>
      <c r="X192" s="577"/>
      <c r="Y192" s="577"/>
      <c r="Z192" s="577"/>
      <c r="AA192" s="577"/>
      <c r="AB192" s="577"/>
      <c r="AC192" s="578"/>
    </row>
    <row r="193" spans="2:36" ht="20.100000000000001" customHeight="1" thickBot="1" x14ac:dyDescent="0.25">
      <c r="F193" s="436">
        <f t="shared" si="64"/>
        <v>0</v>
      </c>
      <c r="G193" s="437">
        <v>27</v>
      </c>
      <c r="H193" s="438"/>
      <c r="I193" s="257"/>
      <c r="L193" s="254"/>
      <c r="M193" s="249"/>
      <c r="N193" s="367"/>
      <c r="S193" s="576"/>
      <c r="T193" s="577"/>
      <c r="U193" s="577"/>
      <c r="V193" s="577"/>
      <c r="W193" s="577"/>
      <c r="X193" s="577"/>
      <c r="Y193" s="577"/>
      <c r="Z193" s="577"/>
      <c r="AA193" s="577"/>
      <c r="AB193" s="577"/>
      <c r="AC193" s="578"/>
    </row>
    <row r="194" spans="2:36" ht="20.100000000000001" customHeight="1" thickBot="1" x14ac:dyDescent="0.25">
      <c r="L194" s="259">
        <f>SUM(L167:L193)</f>
        <v>0</v>
      </c>
      <c r="M194" s="259">
        <f>SUM(M167:M193)</f>
        <v>0</v>
      </c>
      <c r="N194" s="259">
        <f>SUM(N167:N193)</f>
        <v>0</v>
      </c>
      <c r="S194" s="579"/>
      <c r="T194" s="580"/>
      <c r="U194" s="580"/>
      <c r="V194" s="580"/>
      <c r="W194" s="580"/>
      <c r="X194" s="580"/>
      <c r="Y194" s="580"/>
      <c r="Z194" s="580"/>
      <c r="AA194" s="580"/>
      <c r="AB194" s="580"/>
      <c r="AC194" s="581"/>
    </row>
    <row r="195" spans="2:36" ht="20.100000000000001" customHeight="1" x14ac:dyDescent="0.2"/>
    <row r="197" spans="2:36" ht="15.75" thickBot="1" x14ac:dyDescent="0.25"/>
    <row r="198" spans="2:36" ht="35.25" customHeight="1" thickBot="1" x14ac:dyDescent="0.25">
      <c r="B198" s="530" t="s">
        <v>194</v>
      </c>
      <c r="C198" s="531"/>
      <c r="D198" s="531"/>
      <c r="E198" s="531"/>
      <c r="F198" s="531"/>
      <c r="G198" s="531"/>
      <c r="H198" s="531"/>
      <c r="I198" s="531"/>
      <c r="J198" s="531"/>
      <c r="K198" s="531"/>
      <c r="L198" s="531"/>
      <c r="M198" s="531"/>
      <c r="N198" s="531"/>
      <c r="O198" s="531"/>
      <c r="P198" s="531"/>
      <c r="Q198" s="531"/>
      <c r="R198" s="531"/>
      <c r="S198" s="531"/>
      <c r="T198" s="531"/>
      <c r="U198" s="531"/>
      <c r="V198" s="531"/>
      <c r="W198" s="531"/>
      <c r="X198" s="531"/>
      <c r="Y198" s="531"/>
      <c r="Z198" s="531"/>
      <c r="AA198" s="531"/>
      <c r="AB198" s="531"/>
      <c r="AC198" s="531"/>
      <c r="AD198" s="531"/>
      <c r="AE198" s="531"/>
      <c r="AF198" s="531"/>
      <c r="AG198" s="531"/>
      <c r="AH198" s="531"/>
      <c r="AI198" s="531"/>
      <c r="AJ198" s="532"/>
    </row>
    <row r="208" spans="2:36" ht="15.75" thickBot="1" x14ac:dyDescent="0.25"/>
    <row r="209" spans="2:20" ht="15.75" thickBot="1" x14ac:dyDescent="0.25">
      <c r="J209" s="596" t="s">
        <v>2</v>
      </c>
      <c r="K209" s="597"/>
      <c r="L209" s="598"/>
    </row>
    <row r="210" spans="2:20" ht="15.75" thickBot="1" x14ac:dyDescent="0.25">
      <c r="J210" s="599" t="s">
        <v>3</v>
      </c>
      <c r="K210" s="600"/>
      <c r="L210" s="384">
        <f>+C219</f>
        <v>5.9914645471079817</v>
      </c>
    </row>
    <row r="211" spans="2:20" ht="27.75" customHeight="1" thickBot="1" x14ac:dyDescent="0.25">
      <c r="B211" s="390" t="s">
        <v>168</v>
      </c>
      <c r="C211" s="391" t="str">
        <f>+D58</f>
        <v>M1</v>
      </c>
      <c r="D211" s="391" t="str">
        <f>+E58</f>
        <v>M2</v>
      </c>
      <c r="E211" s="392" t="str">
        <f>+F58</f>
        <v>M3</v>
      </c>
      <c r="H211" s="347"/>
      <c r="J211" s="590" t="s">
        <v>195</v>
      </c>
      <c r="K211" s="592"/>
      <c r="L211" s="401" t="e">
        <f>+C218</f>
        <v>#DIV/0!</v>
      </c>
      <c r="M211" s="615" t="e">
        <f>IF(L211&lt;=L210,"Menor que Chi CD","Mayor que Chi CD")</f>
        <v>#DIV/0!</v>
      </c>
      <c r="N211" s="615"/>
      <c r="O211" s="616"/>
    </row>
    <row r="212" spans="2:20" x14ac:dyDescent="0.2">
      <c r="B212" s="346" t="s">
        <v>78</v>
      </c>
      <c r="C212" s="395" t="e">
        <f>+D50</f>
        <v>#DIV/0!</v>
      </c>
      <c r="D212" s="395" t="e">
        <f>+E50</f>
        <v>#DIV/0!</v>
      </c>
      <c r="E212" s="396" t="e">
        <f>+F50</f>
        <v>#DIV/0!</v>
      </c>
      <c r="H212" s="186"/>
    </row>
    <row r="213" spans="2:20" ht="15.75" thickBot="1" x14ac:dyDescent="0.25">
      <c r="B213" s="397" t="s">
        <v>79</v>
      </c>
      <c r="C213" s="393" t="e">
        <f>_xlfn.VAR.S(D34:D42)</f>
        <v>#DIV/0!</v>
      </c>
      <c r="D213" s="393" t="e">
        <f t="shared" ref="D213:E213" si="65">_xlfn.VAR.S(E34:E42)</f>
        <v>#DIV/0!</v>
      </c>
      <c r="E213" s="394" t="e">
        <f t="shared" si="65"/>
        <v>#DIV/0!</v>
      </c>
      <c r="H213" s="171"/>
    </row>
    <row r="214" spans="2:20" x14ac:dyDescent="0.2">
      <c r="B214" s="398" t="s">
        <v>47</v>
      </c>
      <c r="C214" s="601">
        <f>+W24</f>
        <v>0</v>
      </c>
      <c r="D214" s="602"/>
      <c r="E214" s="603"/>
      <c r="H214" s="176"/>
      <c r="J214" s="388" t="s">
        <v>4</v>
      </c>
      <c r="K214" s="599" t="s">
        <v>84</v>
      </c>
      <c r="L214" s="617"/>
      <c r="M214" s="617"/>
      <c r="N214" s="617"/>
      <c r="O214" s="617"/>
      <c r="P214" s="617"/>
      <c r="Q214" s="617"/>
      <c r="R214" s="600"/>
    </row>
    <row r="215" spans="2:20" ht="15.75" thickBot="1" x14ac:dyDescent="0.25">
      <c r="B215" s="399" t="s">
        <v>48</v>
      </c>
      <c r="C215" s="568">
        <f>+W25</f>
        <v>3</v>
      </c>
      <c r="D215" s="569"/>
      <c r="E215" s="570"/>
      <c r="H215" s="176"/>
      <c r="J215" s="389" t="s">
        <v>6</v>
      </c>
      <c r="K215" s="590" t="s">
        <v>85</v>
      </c>
      <c r="L215" s="591"/>
      <c r="M215" s="591"/>
      <c r="N215" s="591"/>
      <c r="O215" s="591"/>
      <c r="P215" s="591"/>
      <c r="Q215" s="591"/>
      <c r="R215" s="592"/>
    </row>
    <row r="216" spans="2:20" ht="15.75" thickBot="1" x14ac:dyDescent="0.25">
      <c r="B216" s="399" t="s">
        <v>42</v>
      </c>
      <c r="C216" s="568" t="e">
        <f>(SUM(C213:H213)/C215)</f>
        <v>#DIV/0!</v>
      </c>
      <c r="D216" s="569"/>
      <c r="E216" s="570"/>
      <c r="H216" s="176"/>
    </row>
    <row r="217" spans="2:20" ht="15.75" thickBot="1" x14ac:dyDescent="0.25">
      <c r="B217" s="399" t="s">
        <v>80</v>
      </c>
      <c r="C217" s="568" t="e">
        <f>+(C213*D213*E213)^(1/C215)</f>
        <v>#DIV/0!</v>
      </c>
      <c r="D217" s="569"/>
      <c r="E217" s="570"/>
      <c r="H217" s="176"/>
      <c r="J217" s="587" t="e">
        <f>IF(L211&lt;=L210,"La Hipotesis nula NO se rechaza","Se rechaza la hipotesis nula")</f>
        <v>#DIV/0!</v>
      </c>
      <c r="K217" s="588"/>
      <c r="L217" s="588"/>
      <c r="M217" s="588"/>
      <c r="N217" s="588"/>
      <c r="O217" s="588"/>
      <c r="P217" s="588"/>
      <c r="Q217" s="588"/>
      <c r="R217" s="588"/>
      <c r="S217" s="588"/>
      <c r="T217" s="589"/>
    </row>
    <row r="218" spans="2:20" x14ac:dyDescent="0.2">
      <c r="B218" s="399" t="s">
        <v>81</v>
      </c>
      <c r="C218" s="568" t="e">
        <f>ABS((((C214-C215)/(1+((C215+1)/(3*(C214-C215))))))*(LN(C216/C217)))</f>
        <v>#DIV/0!</v>
      </c>
      <c r="D218" s="569"/>
      <c r="E218" s="570"/>
      <c r="F218" s="571" t="s">
        <v>157</v>
      </c>
      <c r="G218" s="572"/>
      <c r="J218" s="573" t="s">
        <v>193</v>
      </c>
      <c r="K218" s="574"/>
      <c r="L218" s="574"/>
      <c r="M218" s="574"/>
      <c r="N218" s="574"/>
      <c r="O218" s="574"/>
      <c r="P218" s="574"/>
      <c r="Q218" s="574"/>
      <c r="R218" s="574"/>
      <c r="S218" s="574"/>
      <c r="T218" s="575"/>
    </row>
    <row r="219" spans="2:20" ht="15.75" thickBot="1" x14ac:dyDescent="0.25">
      <c r="B219" s="399" t="s">
        <v>82</v>
      </c>
      <c r="C219" s="568">
        <f>CHIINV(0.05,C215-1)</f>
        <v>5.9914645471079817</v>
      </c>
      <c r="D219" s="569"/>
      <c r="E219" s="570"/>
      <c r="F219" s="582" t="s">
        <v>156</v>
      </c>
      <c r="G219" s="583"/>
      <c r="J219" s="576"/>
      <c r="K219" s="577"/>
      <c r="L219" s="577"/>
      <c r="M219" s="577"/>
      <c r="N219" s="577"/>
      <c r="O219" s="577"/>
      <c r="P219" s="577"/>
      <c r="Q219" s="577"/>
      <c r="R219" s="577"/>
      <c r="S219" s="577"/>
      <c r="T219" s="578"/>
    </row>
    <row r="220" spans="2:20" ht="15.75" thickBot="1" x14ac:dyDescent="0.25">
      <c r="B220" s="400" t="s">
        <v>83</v>
      </c>
      <c r="C220" s="584" t="e">
        <f>CHIDIST(C218,C215-1)</f>
        <v>#DIV/0!</v>
      </c>
      <c r="D220" s="585"/>
      <c r="E220" s="586"/>
      <c r="H220" s="176"/>
      <c r="J220" s="576"/>
      <c r="K220" s="577"/>
      <c r="L220" s="577"/>
      <c r="M220" s="577"/>
      <c r="N220" s="577"/>
      <c r="O220" s="577"/>
      <c r="P220" s="577"/>
      <c r="Q220" s="577"/>
      <c r="R220" s="577"/>
      <c r="S220" s="577"/>
      <c r="T220" s="578"/>
    </row>
    <row r="221" spans="2:20" ht="15.75" thickBot="1" x14ac:dyDescent="0.25">
      <c r="J221" s="579"/>
      <c r="K221" s="580"/>
      <c r="L221" s="580"/>
      <c r="M221" s="580"/>
      <c r="N221" s="580"/>
      <c r="O221" s="580"/>
      <c r="P221" s="580"/>
      <c r="Q221" s="580"/>
      <c r="R221" s="580"/>
      <c r="S221" s="580"/>
      <c r="T221" s="581"/>
    </row>
  </sheetData>
  <sheetProtection password="CF7A" sheet="1" objects="1" scenarios="1"/>
  <sortState ref="AD19:AD37">
    <sortCondition ref="AD18"/>
  </sortState>
  <mergeCells count="144">
    <mergeCell ref="S6:T6"/>
    <mergeCell ref="I7:L7"/>
    <mergeCell ref="U6:Z6"/>
    <mergeCell ref="U7:Z7"/>
    <mergeCell ref="AA6:AD7"/>
    <mergeCell ref="AE6:AJ7"/>
    <mergeCell ref="A2:C4"/>
    <mergeCell ref="A5:J5"/>
    <mergeCell ref="D2:AJ4"/>
    <mergeCell ref="A6:C6"/>
    <mergeCell ref="A7:C7"/>
    <mergeCell ref="S7:T7"/>
    <mergeCell ref="D6:H6"/>
    <mergeCell ref="D7:H7"/>
    <mergeCell ref="I6:L6"/>
    <mergeCell ref="M6:R6"/>
    <mergeCell ref="M7:R7"/>
    <mergeCell ref="X56:Y56"/>
    <mergeCell ref="X57:Y57"/>
    <mergeCell ref="X58:Y58"/>
    <mergeCell ref="X59:Y59"/>
    <mergeCell ref="X60:Y60"/>
    <mergeCell ref="X53:Y53"/>
    <mergeCell ref="X54:Y54"/>
    <mergeCell ref="X55:Y55"/>
    <mergeCell ref="X48:Y48"/>
    <mergeCell ref="X52:Y52"/>
    <mergeCell ref="T24:V24"/>
    <mergeCell ref="T25:V25"/>
    <mergeCell ref="T26:V26"/>
    <mergeCell ref="B12:AJ12"/>
    <mergeCell ref="AF32:AJ32"/>
    <mergeCell ref="AG33:AH33"/>
    <mergeCell ref="X43:Y43"/>
    <mergeCell ref="X44:Y44"/>
    <mergeCell ref="X47:Y47"/>
    <mergeCell ref="X33:Y33"/>
    <mergeCell ref="X34:Y34"/>
    <mergeCell ref="X35:Y35"/>
    <mergeCell ref="X36:Y36"/>
    <mergeCell ref="X37:Y37"/>
    <mergeCell ref="X38:Y38"/>
    <mergeCell ref="X39:Y39"/>
    <mergeCell ref="X40:Y40"/>
    <mergeCell ref="K32:Z32"/>
    <mergeCell ref="B106:C106"/>
    <mergeCell ref="Q58:Q68"/>
    <mergeCell ref="J58:J68"/>
    <mergeCell ref="Q72:Q80"/>
    <mergeCell ref="J72:J80"/>
    <mergeCell ref="P104:Q105"/>
    <mergeCell ref="R104:R105"/>
    <mergeCell ref="D106:E106"/>
    <mergeCell ref="G106:I106"/>
    <mergeCell ref="J102:V102"/>
    <mergeCell ref="K99:L99"/>
    <mergeCell ref="R99:S99"/>
    <mergeCell ref="P107:Q107"/>
    <mergeCell ref="K108:M108"/>
    <mergeCell ref="N108:O108"/>
    <mergeCell ref="P108:Q108"/>
    <mergeCell ref="D109:E109"/>
    <mergeCell ref="H109:I109"/>
    <mergeCell ref="D108:E108"/>
    <mergeCell ref="H108:I108"/>
    <mergeCell ref="D107:E107"/>
    <mergeCell ref="H107:I107"/>
    <mergeCell ref="D120:G120"/>
    <mergeCell ref="B130:AJ130"/>
    <mergeCell ref="D148:F148"/>
    <mergeCell ref="D149:F149"/>
    <mergeCell ref="D150:F150"/>
    <mergeCell ref="O142:Q142"/>
    <mergeCell ref="H152:I152"/>
    <mergeCell ref="H155:I155"/>
    <mergeCell ref="M151:N152"/>
    <mergeCell ref="O151:P151"/>
    <mergeCell ref="O152:P152"/>
    <mergeCell ref="E155:G155"/>
    <mergeCell ref="D151:F151"/>
    <mergeCell ref="M158:N158"/>
    <mergeCell ref="O158:P158"/>
    <mergeCell ref="M159:N159"/>
    <mergeCell ref="O159:P159"/>
    <mergeCell ref="M161:R162"/>
    <mergeCell ref="L165:N165"/>
    <mergeCell ref="F166:G166"/>
    <mergeCell ref="H166:I166"/>
    <mergeCell ref="B164:AJ164"/>
    <mergeCell ref="F165:I165"/>
    <mergeCell ref="S186:T186"/>
    <mergeCell ref="S166:AC166"/>
    <mergeCell ref="T179:W179"/>
    <mergeCell ref="B165:D165"/>
    <mergeCell ref="T187:W187"/>
    <mergeCell ref="V186:AA186"/>
    <mergeCell ref="S191:AC194"/>
    <mergeCell ref="M211:O211"/>
    <mergeCell ref="K214:R214"/>
    <mergeCell ref="S185:T185"/>
    <mergeCell ref="S184:U184"/>
    <mergeCell ref="T180:W180"/>
    <mergeCell ref="K215:R215"/>
    <mergeCell ref="S190:AC190"/>
    <mergeCell ref="T188:W188"/>
    <mergeCell ref="B198:AJ198"/>
    <mergeCell ref="J209:L209"/>
    <mergeCell ref="J210:K210"/>
    <mergeCell ref="J211:K211"/>
    <mergeCell ref="C214:E214"/>
    <mergeCell ref="C215:E215"/>
    <mergeCell ref="C216:E216"/>
    <mergeCell ref="F218:G218"/>
    <mergeCell ref="J218:T221"/>
    <mergeCell ref="F219:G219"/>
    <mergeCell ref="C217:E217"/>
    <mergeCell ref="C218:E218"/>
    <mergeCell ref="C219:E219"/>
    <mergeCell ref="C220:E220"/>
    <mergeCell ref="J217:T217"/>
    <mergeCell ref="A8:AJ10"/>
    <mergeCell ref="J111:V111"/>
    <mergeCell ref="H50:J50"/>
    <mergeCell ref="X41:Y41"/>
    <mergeCell ref="S106:S108"/>
    <mergeCell ref="T106:T108"/>
    <mergeCell ref="U106:U108"/>
    <mergeCell ref="K106:M106"/>
    <mergeCell ref="N106:O106"/>
    <mergeCell ref="P106:Q106"/>
    <mergeCell ref="S104:S105"/>
    <mergeCell ref="T104:T105"/>
    <mergeCell ref="U104:U105"/>
    <mergeCell ref="K104:M105"/>
    <mergeCell ref="N104:O105"/>
    <mergeCell ref="X42:Y42"/>
    <mergeCell ref="X45:Y45"/>
    <mergeCell ref="X46:Y46"/>
    <mergeCell ref="X49:Y49"/>
    <mergeCell ref="X50:Y50"/>
    <mergeCell ref="X51:Y51"/>
    <mergeCell ref="D110:E110"/>
    <mergeCell ref="K107:M107"/>
    <mergeCell ref="N107:O107"/>
  </mergeCells>
  <conditionalFormatting sqref="I167:I193">
    <cfRule type="cellIs" dxfId="13" priority="7" operator="equal">
      <formula>0</formula>
    </cfRule>
  </conditionalFormatting>
  <conditionalFormatting sqref="V186">
    <cfRule type="cellIs" dxfId="12" priority="5" operator="equal">
      <formula>"Mayor que Chi CD"</formula>
    </cfRule>
    <cfRule type="cellIs" dxfId="11" priority="6" operator="equal">
      <formula>"Menor que Chi CD"</formula>
    </cfRule>
  </conditionalFormatting>
  <conditionalFormatting sqref="S190">
    <cfRule type="cellIs" dxfId="10" priority="4" operator="equal">
      <formula>"Se rechaza la hipotesis nula"</formula>
    </cfRule>
  </conditionalFormatting>
  <conditionalFormatting sqref="M211:O211">
    <cfRule type="cellIs" dxfId="9" priority="2" operator="equal">
      <formula>"Mayor que Chi CD"</formula>
    </cfRule>
    <cfRule type="cellIs" dxfId="8" priority="3" operator="equal">
      <formula>"Menor que Chi CD"</formula>
    </cfRule>
  </conditionalFormatting>
  <conditionalFormatting sqref="J217">
    <cfRule type="cellIs" dxfId="7" priority="1" operator="equal">
      <formula>"Se rechaza la hipotesis nula"</formula>
    </cfRule>
  </conditionalFormatting>
  <pageMargins left="0.70866141732283472" right="0.70866141732283472" top="0.74803149606299213" bottom="0.74803149606299213" header="0.31496062992125984" footer="0.31496062992125984"/>
  <pageSetup scale="18" orientation="portrait" r:id="rId1"/>
  <headerFooter>
    <oddFooter>&amp;RRT03-F25 Vr. 4 (2019-11-05)</oddFooter>
  </headerFooter>
  <rowBreaks count="1" manualBreakCount="1">
    <brk id="195" max="16383" man="1"/>
  </rowBreaks>
  <colBreaks count="1" manualBreakCount="1">
    <brk id="36" max="1048575" man="1"/>
  </colBreaks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"/>
  <sheetViews>
    <sheetView showGridLines="0" view="pageBreakPreview" zoomScale="60" zoomScaleNormal="100" workbookViewId="0">
      <selection activeCell="I6" sqref="I6"/>
    </sheetView>
  </sheetViews>
  <sheetFormatPr baseColWidth="10" defaultRowHeight="15" x14ac:dyDescent="0.2"/>
  <cols>
    <col min="1" max="1" width="15.7109375" style="402" customWidth="1"/>
    <col min="2" max="2" width="14.140625" style="402" customWidth="1"/>
    <col min="3" max="3" width="13.85546875" style="402" customWidth="1"/>
    <col min="4" max="4" width="15.42578125" style="402" customWidth="1"/>
    <col min="5" max="5" width="17.42578125" style="402" customWidth="1"/>
    <col min="6" max="6" width="16.42578125" style="402" customWidth="1"/>
    <col min="7" max="8" width="18.85546875" style="402" bestFit="1" customWidth="1"/>
    <col min="9" max="9" width="19" style="402" customWidth="1"/>
    <col min="10" max="10" width="18.42578125" style="402" customWidth="1"/>
    <col min="11" max="16384" width="11.42578125" style="402"/>
  </cols>
  <sheetData>
    <row r="1" spans="1:11" ht="20.100000000000001" customHeight="1" x14ac:dyDescent="0.2">
      <c r="A1" s="728"/>
      <c r="B1" s="729"/>
      <c r="C1" s="730"/>
      <c r="D1" s="758" t="s">
        <v>169</v>
      </c>
      <c r="E1" s="759"/>
      <c r="F1" s="759"/>
      <c r="G1" s="759"/>
      <c r="H1" s="759"/>
      <c r="I1" s="759"/>
      <c r="J1" s="760"/>
    </row>
    <row r="2" spans="1:11" ht="20.100000000000001" customHeight="1" x14ac:dyDescent="0.2">
      <c r="A2" s="731"/>
      <c r="B2" s="732"/>
      <c r="C2" s="733"/>
      <c r="D2" s="761"/>
      <c r="E2" s="762"/>
      <c r="F2" s="762"/>
      <c r="G2" s="762"/>
      <c r="H2" s="762"/>
      <c r="I2" s="762"/>
      <c r="J2" s="763"/>
    </row>
    <row r="3" spans="1:11" ht="20.100000000000001" customHeight="1" thickBot="1" x14ac:dyDescent="0.25">
      <c r="A3" s="734"/>
      <c r="B3" s="735"/>
      <c r="C3" s="736"/>
      <c r="D3" s="764"/>
      <c r="E3" s="765"/>
      <c r="F3" s="765"/>
      <c r="G3" s="765"/>
      <c r="H3" s="765"/>
      <c r="I3" s="765"/>
      <c r="J3" s="766"/>
    </row>
    <row r="4" spans="1:11" ht="20.25" customHeight="1" thickBot="1" x14ac:dyDescent="0.25">
      <c r="A4" s="767"/>
      <c r="B4" s="767"/>
      <c r="C4" s="767"/>
      <c r="D4" s="767"/>
      <c r="E4" s="767"/>
      <c r="F4" s="767"/>
      <c r="G4" s="767"/>
      <c r="H4" s="767"/>
      <c r="I4" s="767"/>
      <c r="J4" s="767"/>
    </row>
    <row r="5" spans="1:11" ht="36.75" customHeight="1" thickTop="1" thickBot="1" x14ac:dyDescent="0.25">
      <c r="A5" s="403" t="s">
        <v>170</v>
      </c>
      <c r="B5" s="753"/>
      <c r="C5" s="754"/>
      <c r="D5" s="403" t="s">
        <v>171</v>
      </c>
      <c r="E5" s="404"/>
      <c r="F5" s="403" t="s">
        <v>172</v>
      </c>
      <c r="G5" s="753"/>
      <c r="H5" s="754"/>
      <c r="I5" s="403" t="s">
        <v>173</v>
      </c>
      <c r="J5" s="405"/>
    </row>
    <row r="6" spans="1:11" ht="36" customHeight="1" thickTop="1" thickBot="1" x14ac:dyDescent="0.25">
      <c r="A6" s="403" t="s">
        <v>174</v>
      </c>
      <c r="B6" s="753"/>
      <c r="C6" s="754"/>
      <c r="D6" s="403"/>
      <c r="E6" s="403" t="s">
        <v>175</v>
      </c>
      <c r="F6" s="755"/>
      <c r="G6" s="756"/>
      <c r="H6" s="757"/>
      <c r="I6" s="403" t="s">
        <v>176</v>
      </c>
      <c r="J6" s="405"/>
    </row>
    <row r="7" spans="1:11" ht="9" customHeight="1" thickTop="1" thickBot="1" x14ac:dyDescent="0.25">
      <c r="A7" s="419"/>
      <c r="B7" s="420"/>
      <c r="C7" s="420"/>
      <c r="D7" s="421"/>
      <c r="E7" s="421"/>
      <c r="F7" s="421"/>
      <c r="G7" s="420"/>
      <c r="H7" s="420"/>
      <c r="I7" s="422"/>
      <c r="J7" s="423"/>
    </row>
    <row r="8" spans="1:11" ht="21.75" customHeight="1" x14ac:dyDescent="0.2">
      <c r="A8" s="768"/>
      <c r="B8" s="769"/>
      <c r="C8" s="769"/>
      <c r="D8" s="769"/>
      <c r="E8" s="769"/>
      <c r="F8" s="769"/>
      <c r="G8" s="769"/>
      <c r="H8" s="769"/>
      <c r="I8" s="769"/>
      <c r="J8" s="770"/>
    </row>
    <row r="9" spans="1:11" ht="20.100000000000001" customHeight="1" thickBot="1" x14ac:dyDescent="0.25">
      <c r="A9" s="771"/>
      <c r="B9" s="772"/>
      <c r="C9" s="772"/>
      <c r="D9" s="772"/>
      <c r="E9" s="772"/>
      <c r="F9" s="772"/>
      <c r="G9" s="772"/>
      <c r="H9" s="772"/>
      <c r="I9" s="772"/>
      <c r="J9" s="773"/>
    </row>
    <row r="10" spans="1:11" ht="31.5" customHeight="1" thickBot="1" x14ac:dyDescent="0.25">
      <c r="A10" s="774" t="s">
        <v>177</v>
      </c>
      <c r="B10" s="775"/>
      <c r="C10" s="775"/>
      <c r="D10" s="775"/>
      <c r="E10" s="775"/>
      <c r="F10" s="775"/>
      <c r="G10" s="775"/>
      <c r="H10" s="775"/>
      <c r="I10" s="775"/>
      <c r="J10" s="776"/>
    </row>
    <row r="11" spans="1:11" ht="18" customHeight="1" x14ac:dyDescent="0.2">
      <c r="A11" s="424"/>
      <c r="B11" s="425"/>
      <c r="C11" s="425"/>
      <c r="D11" s="425"/>
      <c r="E11" s="426"/>
      <c r="F11" s="427"/>
      <c r="G11" s="428"/>
      <c r="H11" s="428"/>
      <c r="I11" s="428"/>
      <c r="J11" s="429"/>
      <c r="K11" s="430"/>
    </row>
    <row r="12" spans="1:11" ht="18" customHeight="1" x14ac:dyDescent="0.2">
      <c r="A12" s="424"/>
      <c r="B12" s="425"/>
      <c r="C12" s="425"/>
      <c r="D12" s="425"/>
      <c r="E12" s="426"/>
      <c r="F12" s="427"/>
      <c r="G12" s="428"/>
      <c r="H12" s="428"/>
      <c r="I12" s="428"/>
      <c r="J12" s="429"/>
      <c r="K12" s="430"/>
    </row>
    <row r="13" spans="1:11" ht="18" customHeight="1" x14ac:dyDescent="0.2">
      <c r="A13" s="424"/>
      <c r="B13" s="425"/>
      <c r="C13" s="425"/>
      <c r="D13" s="425"/>
      <c r="E13" s="426"/>
      <c r="F13" s="427"/>
      <c r="G13" s="428"/>
      <c r="H13" s="428"/>
      <c r="I13" s="428"/>
      <c r="J13" s="429"/>
      <c r="K13" s="430"/>
    </row>
    <row r="14" spans="1:11" ht="18" customHeight="1" x14ac:dyDescent="0.2">
      <c r="A14" s="424"/>
      <c r="B14" s="425"/>
      <c r="C14" s="425"/>
      <c r="D14" s="425"/>
      <c r="E14" s="426"/>
      <c r="F14" s="427"/>
      <c r="G14" s="428"/>
      <c r="H14" s="428"/>
      <c r="I14" s="428"/>
      <c r="J14" s="429"/>
      <c r="K14" s="430"/>
    </row>
    <row r="15" spans="1:11" ht="18" customHeight="1" x14ac:dyDescent="0.2">
      <c r="A15" s="424"/>
      <c r="B15" s="425"/>
      <c r="C15" s="425"/>
      <c r="D15" s="425"/>
      <c r="E15" s="426"/>
      <c r="F15" s="427"/>
      <c r="G15" s="428"/>
      <c r="H15" s="428"/>
      <c r="I15" s="428"/>
      <c r="J15" s="429"/>
      <c r="K15" s="430"/>
    </row>
    <row r="16" spans="1:11" ht="18" customHeight="1" x14ac:dyDescent="0.2">
      <c r="A16" s="424"/>
      <c r="B16" s="425"/>
      <c r="C16" s="425"/>
      <c r="D16" s="425"/>
      <c r="E16" s="426"/>
      <c r="F16" s="427"/>
      <c r="G16" s="428"/>
      <c r="H16" s="428"/>
      <c r="I16" s="428"/>
      <c r="J16" s="429"/>
      <c r="K16" s="430"/>
    </row>
    <row r="17" spans="1:11" ht="18" customHeight="1" x14ac:dyDescent="0.2">
      <c r="A17" s="424"/>
      <c r="B17" s="425"/>
      <c r="C17" s="425"/>
      <c r="D17" s="425"/>
      <c r="E17" s="426"/>
      <c r="F17" s="427"/>
      <c r="G17" s="428"/>
      <c r="H17" s="428"/>
      <c r="I17" s="428"/>
      <c r="J17" s="429"/>
      <c r="K17" s="430"/>
    </row>
    <row r="18" spans="1:11" ht="18" customHeight="1" x14ac:dyDescent="0.2">
      <c r="A18" s="424"/>
      <c r="B18" s="425"/>
      <c r="C18" s="425"/>
      <c r="D18" s="425"/>
      <c r="E18" s="426"/>
      <c r="F18" s="427"/>
      <c r="G18" s="428"/>
      <c r="H18" s="428"/>
      <c r="I18" s="428"/>
      <c r="J18" s="429"/>
      <c r="K18" s="430"/>
    </row>
    <row r="19" spans="1:11" ht="18" customHeight="1" x14ac:dyDescent="0.2">
      <c r="A19" s="424"/>
      <c r="B19" s="425"/>
      <c r="C19" s="425"/>
      <c r="D19" s="425"/>
      <c r="E19" s="426"/>
      <c r="F19" s="427"/>
      <c r="G19" s="428"/>
      <c r="H19" s="428"/>
      <c r="I19" s="428"/>
      <c r="J19" s="429"/>
      <c r="K19" s="430"/>
    </row>
    <row r="20" spans="1:11" ht="18" customHeight="1" x14ac:dyDescent="0.2">
      <c r="A20" s="424"/>
      <c r="B20" s="425"/>
      <c r="C20" s="425"/>
      <c r="D20" s="425"/>
      <c r="E20" s="426"/>
      <c r="F20" s="427"/>
      <c r="G20" s="428"/>
      <c r="H20" s="428"/>
      <c r="I20" s="428"/>
      <c r="J20" s="429"/>
      <c r="K20" s="430"/>
    </row>
    <row r="21" spans="1:11" ht="18" customHeight="1" x14ac:dyDescent="0.2">
      <c r="A21" s="424"/>
      <c r="B21" s="425"/>
      <c r="C21" s="425"/>
      <c r="D21" s="425"/>
      <c r="E21" s="426"/>
      <c r="F21" s="427"/>
      <c r="G21" s="428"/>
      <c r="H21" s="428"/>
      <c r="I21" s="428"/>
      <c r="J21" s="429"/>
      <c r="K21" s="430"/>
    </row>
    <row r="22" spans="1:11" ht="18" customHeight="1" x14ac:dyDescent="0.2">
      <c r="A22" s="424"/>
      <c r="B22" s="425"/>
      <c r="C22" s="425"/>
      <c r="D22" s="425"/>
      <c r="E22" s="426"/>
      <c r="F22" s="427"/>
      <c r="G22" s="428"/>
      <c r="H22" s="428"/>
      <c r="I22" s="428"/>
      <c r="J22" s="429"/>
      <c r="K22" s="430"/>
    </row>
    <row r="23" spans="1:11" ht="18" customHeight="1" thickBot="1" x14ac:dyDescent="0.25">
      <c r="A23" s="777"/>
      <c r="B23" s="778"/>
      <c r="C23" s="778"/>
      <c r="D23" s="778"/>
      <c r="E23" s="778"/>
      <c r="F23" s="778"/>
      <c r="G23" s="778"/>
      <c r="H23" s="778"/>
      <c r="I23" s="778"/>
      <c r="J23" s="779"/>
    </row>
    <row r="24" spans="1:11" ht="18" customHeight="1" thickBot="1" x14ac:dyDescent="0.25">
      <c r="A24" s="780" t="s">
        <v>188</v>
      </c>
      <c r="B24" s="781"/>
      <c r="C24" s="781"/>
      <c r="D24" s="781"/>
      <c r="E24" s="781"/>
      <c r="F24" s="781"/>
      <c r="G24" s="781"/>
      <c r="H24" s="781"/>
      <c r="I24" s="781"/>
      <c r="J24" s="782"/>
    </row>
    <row r="25" spans="1:11" ht="107.1" customHeight="1" x14ac:dyDescent="0.2">
      <c r="A25" s="783"/>
      <c r="B25" s="784"/>
      <c r="C25" s="784"/>
      <c r="D25" s="784"/>
      <c r="E25" s="784"/>
      <c r="F25" s="784"/>
      <c r="G25" s="784"/>
      <c r="H25" s="784"/>
      <c r="I25" s="784"/>
      <c r="J25" s="785"/>
    </row>
    <row r="26" spans="1:11" ht="81" customHeight="1" thickBot="1" x14ac:dyDescent="0.25">
      <c r="A26" s="786"/>
      <c r="B26" s="787"/>
      <c r="C26" s="787"/>
      <c r="D26" s="787"/>
      <c r="E26" s="787"/>
      <c r="F26" s="787"/>
      <c r="G26" s="787"/>
      <c r="H26" s="787"/>
      <c r="I26" s="787"/>
      <c r="J26" s="788"/>
    </row>
    <row r="27" spans="1:11" ht="18" customHeight="1" thickTop="1" x14ac:dyDescent="0.2"/>
    <row r="28" spans="1:11" ht="18" customHeight="1" x14ac:dyDescent="0.2"/>
    <row r="29" spans="1:11" ht="18" customHeight="1" x14ac:dyDescent="0.2"/>
    <row r="30" spans="1:11" ht="18" customHeight="1" x14ac:dyDescent="0.2"/>
    <row r="31" spans="1:11" ht="18" customHeight="1" x14ac:dyDescent="0.2"/>
    <row r="32" spans="1:11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  <row r="71" ht="18" customHeight="1" x14ac:dyDescent="0.2"/>
    <row r="72" ht="18" customHeight="1" x14ac:dyDescent="0.2"/>
    <row r="73" ht="18" customHeight="1" x14ac:dyDescent="0.2"/>
    <row r="74" ht="18" customHeight="1" x14ac:dyDescent="0.2"/>
    <row r="75" ht="18" customHeight="1" x14ac:dyDescent="0.2"/>
    <row r="76" ht="18" customHeight="1" x14ac:dyDescent="0.2"/>
    <row r="77" ht="18" customHeight="1" x14ac:dyDescent="0.2"/>
    <row r="78" ht="18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  <row r="85" ht="18" customHeight="1" x14ac:dyDescent="0.2"/>
    <row r="86" ht="18" customHeight="1" x14ac:dyDescent="0.2"/>
    <row r="87" ht="18" customHeight="1" x14ac:dyDescent="0.2"/>
    <row r="88" ht="18" customHeight="1" x14ac:dyDescent="0.2"/>
    <row r="89" ht="18" customHeight="1" x14ac:dyDescent="0.2"/>
    <row r="90" ht="18" customHeight="1" x14ac:dyDescent="0.2"/>
    <row r="91" ht="18" customHeight="1" x14ac:dyDescent="0.2"/>
    <row r="92" ht="18" customHeight="1" x14ac:dyDescent="0.2"/>
    <row r="93" ht="18" customHeight="1" x14ac:dyDescent="0.2"/>
    <row r="94" ht="18" customHeight="1" x14ac:dyDescent="0.2"/>
    <row r="95" ht="18" customHeight="1" x14ac:dyDescent="0.2"/>
    <row r="96" ht="18" customHeight="1" x14ac:dyDescent="0.2"/>
    <row r="97" ht="18" customHeight="1" x14ac:dyDescent="0.2"/>
    <row r="98" ht="18" customHeight="1" x14ac:dyDescent="0.2"/>
    <row r="99" ht="18" customHeight="1" x14ac:dyDescent="0.2"/>
    <row r="100" ht="18" customHeight="1" x14ac:dyDescent="0.2"/>
    <row r="101" ht="18" customHeight="1" x14ac:dyDescent="0.2"/>
    <row r="102" ht="18" customHeight="1" x14ac:dyDescent="0.2"/>
    <row r="103" ht="18" customHeight="1" x14ac:dyDescent="0.2"/>
    <row r="104" ht="18" customHeight="1" x14ac:dyDescent="0.2"/>
    <row r="105" ht="18" customHeight="1" x14ac:dyDescent="0.2"/>
    <row r="106" ht="18" customHeight="1" x14ac:dyDescent="0.2"/>
    <row r="107" ht="18" customHeight="1" x14ac:dyDescent="0.2"/>
    <row r="108" ht="18" customHeight="1" x14ac:dyDescent="0.2"/>
    <row r="109" ht="18" customHeight="1" x14ac:dyDescent="0.2"/>
    <row r="110" ht="18" customHeight="1" x14ac:dyDescent="0.2"/>
    <row r="111" ht="18" customHeight="1" x14ac:dyDescent="0.2"/>
    <row r="112" ht="18" customHeight="1" x14ac:dyDescent="0.2"/>
    <row r="113" ht="18" customHeight="1" x14ac:dyDescent="0.2"/>
    <row r="114" ht="18" customHeight="1" x14ac:dyDescent="0.2"/>
    <row r="115" ht="18" customHeight="1" x14ac:dyDescent="0.2"/>
    <row r="116" ht="18" customHeight="1" x14ac:dyDescent="0.2"/>
    <row r="117" ht="18" customHeight="1" x14ac:dyDescent="0.2"/>
    <row r="118" ht="18" customHeight="1" x14ac:dyDescent="0.2"/>
    <row r="119" ht="18" customHeight="1" x14ac:dyDescent="0.2"/>
    <row r="120" ht="18" customHeight="1" x14ac:dyDescent="0.2"/>
    <row r="121" ht="18" customHeight="1" x14ac:dyDescent="0.2"/>
    <row r="122" ht="18" customHeight="1" x14ac:dyDescent="0.2"/>
    <row r="123" ht="18" customHeight="1" x14ac:dyDescent="0.2"/>
    <row r="124" ht="18" customHeight="1" x14ac:dyDescent="0.2"/>
    <row r="125" ht="18" customHeight="1" x14ac:dyDescent="0.2"/>
    <row r="126" ht="18" customHeight="1" x14ac:dyDescent="0.2"/>
    <row r="127" ht="18" customHeight="1" x14ac:dyDescent="0.2"/>
    <row r="128" ht="18" customHeight="1" x14ac:dyDescent="0.2"/>
    <row r="129" ht="18" customHeight="1" x14ac:dyDescent="0.2"/>
    <row r="130" ht="18" customHeight="1" x14ac:dyDescent="0.2"/>
    <row r="131" ht="18" customHeight="1" x14ac:dyDescent="0.2"/>
    <row r="132" ht="18" customHeight="1" x14ac:dyDescent="0.2"/>
    <row r="133" ht="18" customHeight="1" x14ac:dyDescent="0.2"/>
    <row r="134" ht="18" customHeight="1" x14ac:dyDescent="0.2"/>
    <row r="135" ht="18" customHeight="1" x14ac:dyDescent="0.2"/>
    <row r="136" ht="18" customHeight="1" x14ac:dyDescent="0.2"/>
    <row r="137" ht="18" customHeight="1" x14ac:dyDescent="0.2"/>
    <row r="138" ht="18" customHeight="1" x14ac:dyDescent="0.2"/>
    <row r="139" ht="18" customHeight="1" x14ac:dyDescent="0.2"/>
    <row r="140" ht="18" customHeight="1" x14ac:dyDescent="0.2"/>
    <row r="141" ht="18" customHeight="1" x14ac:dyDescent="0.2"/>
    <row r="142" ht="18" customHeight="1" x14ac:dyDescent="0.2"/>
    <row r="143" ht="18" customHeight="1" x14ac:dyDescent="0.2"/>
    <row r="144" ht="18" customHeight="1" x14ac:dyDescent="0.2"/>
    <row r="145" ht="18" customHeight="1" x14ac:dyDescent="0.2"/>
    <row r="146" ht="18" customHeight="1" x14ac:dyDescent="0.2"/>
    <row r="147" ht="18" customHeight="1" x14ac:dyDescent="0.2"/>
    <row r="148" ht="18" customHeight="1" x14ac:dyDescent="0.2"/>
    <row r="149" ht="18" customHeight="1" x14ac:dyDescent="0.2"/>
    <row r="150" ht="18" customHeight="1" x14ac:dyDescent="0.2"/>
    <row r="151" ht="18" customHeight="1" x14ac:dyDescent="0.2"/>
    <row r="152" ht="18" customHeight="1" x14ac:dyDescent="0.2"/>
    <row r="153" ht="18" customHeight="1" x14ac:dyDescent="0.2"/>
    <row r="154" ht="18" customHeight="1" x14ac:dyDescent="0.2"/>
    <row r="155" ht="18" customHeight="1" x14ac:dyDescent="0.2"/>
    <row r="156" ht="18" customHeight="1" x14ac:dyDescent="0.2"/>
    <row r="157" ht="18" customHeight="1" x14ac:dyDescent="0.2"/>
    <row r="158" ht="18" customHeight="1" x14ac:dyDescent="0.2"/>
    <row r="159" ht="18" customHeight="1" x14ac:dyDescent="0.2"/>
    <row r="160" ht="18" customHeight="1" x14ac:dyDescent="0.2"/>
    <row r="161" ht="18" customHeight="1" x14ac:dyDescent="0.2"/>
    <row r="162" ht="18" customHeight="1" x14ac:dyDescent="0.2"/>
    <row r="163" ht="18" customHeight="1" x14ac:dyDescent="0.2"/>
    <row r="164" ht="18" customHeight="1" x14ac:dyDescent="0.2"/>
    <row r="165" ht="18" customHeight="1" x14ac:dyDescent="0.2"/>
    <row r="166" ht="18" customHeight="1" x14ac:dyDescent="0.2"/>
    <row r="167" ht="18" customHeight="1" x14ac:dyDescent="0.2"/>
    <row r="168" ht="18" customHeight="1" x14ac:dyDescent="0.2"/>
    <row r="169" ht="18" customHeight="1" x14ac:dyDescent="0.2"/>
  </sheetData>
  <sheetProtection algorithmName="SHA-512" hashValue="xQOs+ahoZSrVDuz2I1FGFp/AfeqG66xJdN4ETsQOgKrqz6loQnAjeOrL60iH45lU/bhq32BldLQR/v9phKDNSg==" saltValue="JGalnzcmEF8fK+s02h7qrA==" spinCount="100000" sheet="1" objects="1" scenarios="1"/>
  <mergeCells count="12">
    <mergeCell ref="A8:J9"/>
    <mergeCell ref="A10:J10"/>
    <mergeCell ref="A23:J23"/>
    <mergeCell ref="A24:J24"/>
    <mergeCell ref="A25:J26"/>
    <mergeCell ref="B6:C6"/>
    <mergeCell ref="F6:H6"/>
    <mergeCell ref="A1:C3"/>
    <mergeCell ref="D1:J3"/>
    <mergeCell ref="A4:J4"/>
    <mergeCell ref="B5:C5"/>
    <mergeCell ref="G5:H5"/>
  </mergeCells>
  <conditionalFormatting sqref="G11:J22">
    <cfRule type="aboveAverage" dxfId="1" priority="1" equalAverage="1"/>
    <cfRule type="aboveAverage" dxfId="0" priority="2" equalAverage="1"/>
  </conditionalFormatting>
  <pageMargins left="0.7" right="0.7" top="0.75" bottom="0.75" header="0.3" footer="0.3"/>
  <pageSetup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Datos!$B$3:$B$14</xm:f>
          </x14:formula1>
          <xm:sqref>A8:J9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15"/>
  <sheetViews>
    <sheetView workbookViewId="0">
      <selection activeCell="C28" sqref="C28"/>
    </sheetView>
  </sheetViews>
  <sheetFormatPr baseColWidth="10" defaultRowHeight="15" x14ac:dyDescent="0.25"/>
  <cols>
    <col min="2" max="2" width="33.5703125" bestFit="1" customWidth="1"/>
  </cols>
  <sheetData>
    <row r="3" spans="2:2" ht="15.75" thickBot="1" x14ac:dyDescent="0.3">
      <c r="B3" s="431"/>
    </row>
    <row r="4" spans="2:2" ht="15.75" thickBot="1" x14ac:dyDescent="0.3">
      <c r="B4" s="432" t="s">
        <v>178</v>
      </c>
    </row>
    <row r="5" spans="2:2" ht="15.75" thickBot="1" x14ac:dyDescent="0.3">
      <c r="B5" s="432" t="s">
        <v>179</v>
      </c>
    </row>
    <row r="6" spans="2:2" ht="15.75" thickBot="1" x14ac:dyDescent="0.3">
      <c r="B6" s="432" t="s">
        <v>180</v>
      </c>
    </row>
    <row r="7" spans="2:2" ht="15.75" thickBot="1" x14ac:dyDescent="0.3">
      <c r="B7" s="432" t="s">
        <v>181</v>
      </c>
    </row>
    <row r="8" spans="2:2" ht="15.75" thickBot="1" x14ac:dyDescent="0.3">
      <c r="B8" s="432" t="s">
        <v>182</v>
      </c>
    </row>
    <row r="9" spans="2:2" ht="15.75" thickBot="1" x14ac:dyDescent="0.3">
      <c r="B9" s="432" t="s">
        <v>183</v>
      </c>
    </row>
    <row r="10" spans="2:2" ht="15.75" thickBot="1" x14ac:dyDescent="0.3">
      <c r="B10" s="432" t="s">
        <v>184</v>
      </c>
    </row>
    <row r="11" spans="2:2" ht="15.75" thickBot="1" x14ac:dyDescent="0.3">
      <c r="B11" s="432" t="s">
        <v>185</v>
      </c>
    </row>
    <row r="12" spans="2:2" ht="15.75" thickBot="1" x14ac:dyDescent="0.3">
      <c r="B12" s="432" t="s">
        <v>186</v>
      </c>
    </row>
    <row r="13" spans="2:2" ht="15.75" thickBot="1" x14ac:dyDescent="0.3">
      <c r="B13" s="432" t="s">
        <v>187</v>
      </c>
    </row>
    <row r="14" spans="2:2" x14ac:dyDescent="0.25">
      <c r="B14" s="433"/>
    </row>
    <row r="15" spans="2:2" x14ac:dyDescent="0.25">
      <c r="B15" s="431"/>
    </row>
  </sheetData>
  <sheetProtection algorithmName="SHA-512" hashValue="MgI27M0ggzFVjU9Q7MO+pUAbrtVS09gdqH8uJDXgFvrhBK7JNFjHjbshcoVp2tyUTt72ZCdZnOsZqx0HQumTzw==" saltValue="SftkIzGVJ9ay2Gode0gBP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HYK </vt:lpstr>
      <vt:lpstr>RT03-F25</vt:lpstr>
      <vt:lpstr>H.estadisticas</vt:lpstr>
      <vt:lpstr>Datos</vt:lpstr>
      <vt:lpstr>'RT03-F25'!Área_de_impresión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yenni hernandez gomez</cp:lastModifiedBy>
  <cp:lastPrinted>2019-11-07T11:45:46Z</cp:lastPrinted>
  <dcterms:created xsi:type="dcterms:W3CDTF">2017-08-29T19:34:01Z</dcterms:created>
  <dcterms:modified xsi:type="dcterms:W3CDTF">2019-11-07T11:50:23Z</dcterms:modified>
</cp:coreProperties>
</file>